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Y:\Product Compliance\Certifications\Conflict Minerals Report\"/>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3040" windowHeight="919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D10" i="6"/>
  <c r="B10" i="6"/>
  <c r="G10" i="6" s="1"/>
  <c r="H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G31" i="5"/>
  <c r="G34" i="5"/>
  <c r="S36" i="5"/>
  <c r="E39" i="5"/>
  <c r="X39" i="5" s="1"/>
  <c r="I46"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33" i="5"/>
  <c r="X33" i="5" s="1"/>
  <c r="I34" i="5"/>
  <c r="G39" i="5"/>
  <c r="E49" i="5"/>
  <c r="X49" i="5" s="1"/>
  <c r="I50" i="5"/>
  <c r="E65" i="5"/>
  <c r="X65" i="5" s="1"/>
  <c r="I66" i="5"/>
  <c r="S72" i="5"/>
  <c r="E81" i="5"/>
  <c r="X81" i="5" s="1"/>
  <c r="I82" i="5"/>
  <c r="S88"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E29" i="5"/>
  <c r="X29" i="5" s="1"/>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S31"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28" i="5" l="1"/>
  <c r="B28" i="5"/>
  <c r="C27" i="5"/>
  <c r="B27" i="5"/>
  <c r="B25" i="5"/>
  <c r="C25" i="5"/>
  <c r="B22" i="5"/>
  <c r="C22" i="5"/>
  <c r="C20" i="5"/>
  <c r="B20" i="5"/>
  <c r="B16" i="5"/>
  <c r="B14" i="5"/>
  <c r="B15" i="5"/>
  <c r="B12" i="5"/>
  <c r="B13" i="5"/>
  <c r="B10" i="5"/>
  <c r="B11" i="5"/>
  <c r="B8" i="5"/>
  <c r="B9" i="5"/>
  <c r="C7" i="5"/>
  <c r="B7" i="5"/>
  <c r="C5" i="5"/>
  <c r="V5" i="5" s="1"/>
  <c r="H5" i="5" s="1"/>
  <c r="C6" i="5"/>
  <c r="B6" i="5"/>
  <c r="B32" i="6"/>
  <c r="C9" i="6"/>
  <c r="C12" i="6"/>
  <c r="C11" i="6"/>
  <c r="C10" i="6"/>
  <c r="C8" i="6"/>
  <c r="C7" i="6"/>
  <c r="C4"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28" i="5" l="1"/>
  <c r="V28" i="5"/>
  <c r="G28" i="5" s="1"/>
  <c r="AB27" i="5"/>
  <c r="V27" i="5"/>
  <c r="G27" i="5" s="1"/>
  <c r="AB26" i="5"/>
  <c r="V26" i="5"/>
  <c r="G26" i="5"/>
  <c r="V25" i="5"/>
  <c r="G25" i="5" s="1"/>
  <c r="AB25" i="5"/>
  <c r="AB24" i="5"/>
  <c r="V24" i="5"/>
  <c r="G24" i="5"/>
  <c r="V23" i="5"/>
  <c r="G23" i="5"/>
  <c r="AB23" i="5"/>
  <c r="V22" i="5"/>
  <c r="G22" i="5" s="1"/>
  <c r="AB22" i="5"/>
  <c r="AB21" i="5"/>
  <c r="V21" i="5"/>
  <c r="G21" i="5"/>
  <c r="AB20" i="5"/>
  <c r="V20" i="5"/>
  <c r="G20" i="5" s="1"/>
  <c r="AB19" i="5"/>
  <c r="V19" i="5"/>
  <c r="G19" i="5"/>
  <c r="AB18" i="5"/>
  <c r="V18" i="5"/>
  <c r="G18" i="5"/>
  <c r="I5" i="5"/>
  <c r="AB5" i="5"/>
  <c r="G5" i="5"/>
  <c r="F5" i="5"/>
  <c r="R5" i="5"/>
  <c r="E5" i="5"/>
  <c r="AB6" i="5"/>
  <c r="J5" i="5"/>
  <c r="V6" i="5"/>
  <c r="H26" i="6"/>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T5" i="5"/>
  <c r="S5" i="5"/>
  <c r="E28" i="5" l="1"/>
  <c r="I28" i="5"/>
  <c r="J28" i="5"/>
  <c r="R28" i="5"/>
  <c r="F28" i="5"/>
  <c r="H28" i="5"/>
  <c r="F27" i="5"/>
  <c r="H27" i="5"/>
  <c r="E27" i="5"/>
  <c r="R27" i="5"/>
  <c r="J27" i="5"/>
  <c r="I27" i="5"/>
  <c r="H26" i="5"/>
  <c r="R26" i="5"/>
  <c r="E25" i="5"/>
  <c r="R25" i="5"/>
  <c r="I25" i="5"/>
  <c r="J25" i="5"/>
  <c r="H25" i="5"/>
  <c r="F25" i="5"/>
  <c r="R24" i="5"/>
  <c r="H24" i="5"/>
  <c r="H23" i="5"/>
  <c r="R23" i="5"/>
  <c r="I22" i="5"/>
  <c r="F22" i="5"/>
  <c r="E22" i="5"/>
  <c r="J22" i="5"/>
  <c r="H22" i="5"/>
  <c r="R22" i="5"/>
  <c r="H21" i="5"/>
  <c r="R21" i="5"/>
  <c r="R20" i="5"/>
  <c r="I20" i="5"/>
  <c r="H20" i="5"/>
  <c r="J20" i="5"/>
  <c r="F20" i="5"/>
  <c r="E20" i="5"/>
  <c r="H19" i="5"/>
  <c r="R19" i="5"/>
  <c r="R18" i="5"/>
  <c r="H18" i="5"/>
  <c r="R6" i="5"/>
  <c r="I6" i="5"/>
  <c r="F6" i="5"/>
  <c r="J6" i="5"/>
  <c r="E6" i="5"/>
  <c r="H6" i="5"/>
  <c r="X5" i="5"/>
  <c r="G6"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R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26" i="5"/>
  <c r="T24" i="5"/>
  <c r="T23" i="5"/>
  <c r="T21" i="5"/>
  <c r="T19" i="5"/>
  <c r="T18" i="5"/>
  <c r="T17" i="5"/>
  <c r="T28" i="5"/>
  <c r="T16" i="5"/>
  <c r="T25" i="5"/>
  <c r="T13" i="5"/>
  <c r="T7" i="5"/>
  <c r="T14" i="5"/>
  <c r="T11" i="5"/>
  <c r="T22" i="5"/>
  <c r="T27" i="5"/>
  <c r="T6" i="5"/>
  <c r="T10" i="5"/>
  <c r="T12" i="5"/>
  <c r="T20" i="5"/>
  <c r="T8" i="5"/>
  <c r="T9" i="5"/>
  <c r="T15" i="5"/>
  <c r="X28" i="5" l="1"/>
  <c r="X27" i="5"/>
  <c r="X26" i="5"/>
  <c r="X24" i="5"/>
  <c r="X23" i="5"/>
  <c r="X21" i="5"/>
  <c r="X19" i="5"/>
  <c r="X25" i="5"/>
  <c r="X22" i="5"/>
  <c r="X20" i="5"/>
  <c r="X18" i="5"/>
  <c r="X6" i="5"/>
  <c r="X13" i="5"/>
  <c r="X10" i="5"/>
  <c r="D65" i="6"/>
  <c r="X9" i="5"/>
  <c r="X12" i="5"/>
  <c r="X14" i="5"/>
  <c r="X17" i="5"/>
  <c r="D66" i="6"/>
  <c r="C67" i="6"/>
  <c r="X11" i="5"/>
  <c r="X15" i="5"/>
  <c r="X8" i="5"/>
  <c r="X7" i="5"/>
  <c r="G69" i="6"/>
  <c r="X16" i="5"/>
  <c r="D55" i="6"/>
  <c r="C55" i="6"/>
  <c r="D56" i="6"/>
  <c r="C56" i="6"/>
  <c r="S25" i="5"/>
  <c r="S11" i="5"/>
  <c r="S13" i="5"/>
  <c r="S26" i="5"/>
  <c r="S23" i="5"/>
  <c r="S14" i="5"/>
  <c r="S17" i="5"/>
  <c r="S12" i="5"/>
  <c r="S22" i="5"/>
  <c r="S16" i="5"/>
  <c r="S28" i="5"/>
  <c r="S8" i="5"/>
  <c r="S6" i="5"/>
  <c r="S10" i="5"/>
  <c r="S18" i="5"/>
  <c r="S19" i="5"/>
  <c r="S24" i="5"/>
  <c r="S21" i="5"/>
  <c r="S9" i="5"/>
  <c r="S27" i="5"/>
  <c r="S20" i="5"/>
  <c r="S15" i="5"/>
  <c r="S7"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<sst xmlns="http://schemas.openxmlformats.org/spreadsheetml/2006/main" count="21883" uniqueCount="15541">
  <si>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</si>
  <si>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</si>
  <si>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</si>
  <si>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</si>
  <si>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</si>
  <si>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</si>
  <si>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</si>
  <si>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</si>
  <si>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</si>
  <si>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</si>
  <si>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</si>
  <si>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</si>
  <si>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</si>
  <si>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</si>
  <si>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</si>
  <si>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</si>
  <si>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</si>
  <si>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</si>
  <si>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</si>
  <si>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</si>
  <si>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</si>
  <si>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</si>
  <si>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</si>
  <si>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</si>
  <si>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</si>
  <si>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</si>
  <si>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</si>
  <si>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</si>
  <si>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</si>
  <si>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</si>
  <si>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</si>
  <si>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</si>
  <si>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</si>
  <si>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</si>
  <si>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</si>
  <si>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</si>
  <si>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</si>
  <si>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</si>
  <si>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</si>
  <si>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</si>
  <si>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</si>
  <si>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</si>
  <si>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</si>
  <si>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</si>
  <si>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</si>
  <si>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</si>
  <si>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</si>
  <si>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</si>
  <si>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</si>
  <si>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</si>
  <si>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</si>
  <si>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</si>
  <si>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</si>
  <si>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</si>
  <si>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</si>
  <si>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</si>
  <si>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</si>
  <si>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</si>
  <si>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</si>
  <si>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</si>
  <si>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</si>
  <si>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</si>
  <si>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</si>
  <si>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</si>
  <si>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</si>
  <si>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</si>
  <si>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</si>
  <si>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</si>
  <si>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</si>
  <si>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</si>
  <si>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</si>
  <si>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</si>
  <si>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</si>
  <si>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</si>
  <si>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</si>
  <si>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</si>
  <si>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</si>
  <si>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</si>
  <si>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</si>
  <si>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</si>
  <si>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</si>
  <si>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</si>
  <si>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</si>
  <si>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</si>
  <si>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</si>
  <si>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</si>
  <si>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</si>
  <si>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</si>
  <si>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</si>
  <si>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</si>
  <si>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</si>
  <si>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</si>
  <si>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</si>
  <si>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</si>
  <si>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</si>
  <si>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</si>
  <si>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</si>
  <si>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</si>
  <si>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</si>
  <si>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</si>
  <si>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</si>
  <si>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</si>
  <si>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</si>
  <si>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</si>
  <si>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</si>
  <si>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</si>
  <si>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</si>
  <si>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</si>
  <si>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</si>
  <si>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</si>
  <si>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</si>
  <si>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</si>
  <si>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</si>
  <si>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</si>
  <si>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</si>
  <si>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</si>
  <si>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</si>
  <si>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</si>
  <si>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</si>
  <si>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</si>
  <si>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</si>
  <si>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</si>
  <si>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</si>
  <si>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</si>
  <si>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</si>
  <si>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</si>
  <si>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</si>
  <si>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</si>
  <si>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</si>
  <si>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</si>
  <si>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</si>
  <si>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</si>
  <si>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</si>
  <si>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</si>
  <si>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</si>
  <si>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</si>
  <si>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</si>
  <si>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</si>
  <si>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</si>
  <si>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</si>
  <si>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</si>
  <si>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</si>
  <si>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</si>
  <si>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</si>
  <si>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</si>
  <si>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</si>
  <si>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</si>
  <si>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</si>
  <si>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</si>
  <si>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</si>
  <si>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</si>
  <si>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</si>
  <si>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</si>
  <si>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</si>
  <si>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</si>
  <si>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</si>
  <si>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</si>
  <si>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</si>
  <si>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</si>
  <si>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</si>
  <si>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</si>
  <si>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</si>
  <si>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</si>
  <si>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</si>
  <si>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</si>
  <si>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</si>
  <si>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</si>
  <si>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</si>
  <si>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</si>
  <si>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</si>
  <si>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</si>
  <si>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</si>
  <si>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</si>
  <si>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</si>
  <si>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</si>
  <si>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</si>
  <si>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</si>
  <si>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</si>
  <si>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</si>
  <si>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</si>
  <si>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</si>
  <si>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</si>
  <si>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</si>
  <si>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</si>
  <si>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</si>
  <si>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</si>
  <si>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</si>
  <si>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</si>
  <si>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</si>
  <si>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</si>
  <si>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</si>
  <si>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</si>
  <si>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</si>
  <si>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</si>
  <si>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</si>
  <si>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</si>
  <si>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</si>
  <si>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</si>
  <si>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</si>
  <si>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</si>
  <si>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</si>
  <si>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</si>
  <si>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</si>
  <si>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</si>
  <si>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</si>
  <si>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</si>
  <si>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</si>
  <si>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</si>
  <si>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</si>
  <si>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</si>
  <si>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</si>
  <si>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</si>
  <si>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</si>
  <si>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</si>
  <si>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</si>
  <si>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</si>
  <si>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</si>
  <si>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</si>
  <si>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</si>
  <si>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</si>
  <si>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</si>
  <si>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</si>
  <si>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</si>
  <si>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</si>
  <si>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</si>
  <si>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</si>
  <si>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</si>
  <si>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</si>
  <si>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</si>
  <si>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</si>
  <si>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</si>
  <si>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</si>
  <si>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</si>
  <si>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</si>
  <si>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</si>
  <si>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</si>
  <si>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</si>
  <si>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</si>
  <si>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</si>
  <si>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</si>
  <si>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</si>
  <si>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</si>
  <si>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</si>
  <si>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</si>
  <si>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</si>
  <si>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</si>
  <si>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</si>
  <si>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</si>
  <si>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</si>
  <si>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</si>
  <si>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</si>
  <si>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</si>
  <si>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</si>
  <si>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</si>
  <si>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</si>
  <si>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</si>
  <si>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</si>
  <si>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</si>
  <si>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</si>
  <si>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</si>
  <si>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</si>
  <si>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</si>
  <si>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</si>
  <si>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</si>
  <si>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</si>
  <si>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</si>
  <si>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</si>
  <si>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</si>
  <si>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</si>
  <si>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</si>
  <si>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</si>
  <si>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</si>
  <si>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</si>
  <si>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</si>
  <si>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</si>
  <si>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</si>
  <si>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</si>
  <si>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</si>
  <si>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</si>
  <si>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</si>
  <si>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</si>
  <si>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</si>
  <si>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</si>
  <si>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</si>
  <si>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</si>
  <si>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</si>
  <si>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</si>
  <si>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</si>
  <si>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</si>
  <si>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</si>
  <si>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</si>
  <si>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</si>
  <si>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</si>
  <si>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</si>
  <si>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</si>
  <si>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</si>
  <si>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</si>
  <si>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</si>
  <si>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</si>
  <si>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</si>
  <si>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</si>
  <si>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</si>
  <si>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</si>
  <si>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</si>
  <si>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</si>
  <si>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</si>
  <si>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</si>
  <si>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</si>
  <si>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</si>
  <si>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</si>
  <si>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</si>
  <si>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</si>
  <si>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</si>
  <si>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</si>
  <si>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</si>
  <si>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</si>
  <si>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</si>
  <si>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</si>
  <si>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</si>
  <si>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</si>
  <si>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</si>
  <si>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</si>
  <si>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</si>
  <si>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</si>
  <si>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</si>
  <si>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</si>
  <si>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</si>
  <si>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</si>
  <si>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</si>
  <si>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</si>
  <si>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</si>
  <si>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</si>
  <si>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</si>
  <si>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</si>
  <si>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</si>
  <si>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</si>
  <si>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</si>
  <si>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</si>
  <si>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</si>
  <si>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</si>
  <si>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</si>
  <si>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</si>
  <si>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</si>
  <si>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</si>
  <si>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</si>
  <si>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</si>
  <si>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</si>
  <si>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</si>
  <si>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</si>
  <si>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</si>
  <si>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</si>
  <si>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</si>
  <si>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</si>
  <si>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</si>
  <si>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</si>
  <si>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</si>
  <si>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</si>
  <si>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</si>
  <si>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</si>
  <si>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</si>
  <si>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</si>
  <si>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</si>
  <si>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</si>
  <si>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</si>
  <si>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</si>
  <si>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</si>
  <si>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</si>
  <si>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</si>
  <si>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</si>
  <si>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</si>
  <si>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</si>
  <si>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</si>
  <si>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</si>
  <si>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</si>
  <si>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</si>
  <si>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</si>
  <si>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</si>
  <si>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</si>
  <si>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</si>
  <si>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</si>
  <si>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</si>
  <si>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</si>
  <si>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</si>
  <si>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</si>
  <si>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</si>
  <si>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</si>
  <si>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</si>
  <si>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</si>
  <si>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</si>
  <si>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</si>
  <si>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</si>
  <si>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</si>
  <si>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</si>
  <si>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</si>
  <si>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</si>
  <si>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</si>
  <si>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</si>
  <si>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</si>
  <si>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</si>
  <si>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</si>
  <si>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</si>
  <si>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</si>
  <si>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</si>
  <si>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</si>
  <si>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</si>
  <si>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</si>
  <si>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</si>
  <si>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</si>
  <si>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</si>
  <si>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</si>
  <si>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</si>
  <si>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</si>
  <si>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</si>
  <si>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</si>
  <si>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</si>
  <si>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</si>
  <si>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</si>
  <si>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</si>
  <si>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</si>
  <si>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</si>
  <si>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</si>
  <si>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</si>
  <si>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</si>
  <si>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</si>
  <si>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</si>
  <si>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</si>
  <si>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</si>
  <si>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</si>
  <si>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</si>
  <si>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</si>
  <si>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</si>
  <si>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</si>
  <si>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</si>
  <si>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</si>
  <si>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</si>
  <si>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</si>
  <si>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</si>
  <si>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</si>
  <si>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</si>
  <si>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</si>
  <si>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</si>
  <si>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</si>
  <si>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</si>
  <si>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</si>
  <si>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</si>
  <si>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</si>
  <si>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</si>
  <si>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</si>
  <si>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</si>
  <si>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</si>
  <si>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</si>
  <si>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</si>
  <si>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</si>
  <si>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</si>
  <si>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</si>
  <si>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</si>
  <si>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</si>
  <si>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</si>
  <si>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</si>
  <si>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</si>
  <si>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</si>
  <si>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</si>
  <si>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</si>
  <si>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</si>
  <si>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</si>
  <si>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</si>
  <si>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</si>
  <si>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</si>
  <si>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</si>
  <si>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</si>
  <si>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</si>
  <si>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</si>
  <si>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</si>
  <si>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</si>
  <si>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</si>
  <si>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</si>
  <si>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</si>
  <si>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</si>
  <si>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</si>
  <si>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</si>
  <si>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</si>
  <si>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</si>
  <si>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</si>
  <si>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</si>
  <si>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</si>
  <si>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</si>
  <si>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</si>
  <si>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</si>
  <si>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</si>
  <si>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</si>
  <si>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</si>
  <si>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</si>
  <si>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</si>
  <si>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</si>
  <si>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</si>
  <si>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</si>
  <si>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</si>
  <si>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</si>
  <si>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</si>
  <si>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</si>
  <si>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</si>
  <si>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</si>
  <si>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</si>
  <si>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</si>
  <si>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</si>
  <si>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</si>
  <si>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</si>
  <si>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</si>
  <si>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</si>
  <si>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</si>
  <si>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</si>
  <si>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</si>
  <si>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</si>
  <si>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</si>
  <si>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</si>
  <si>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</si>
  <si>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</si>
  <si>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</si>
  <si>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</si>
  <si>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</si>
  <si>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</si>
  <si>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</si>
  <si>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</si>
  <si>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</si>
  <si>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</si>
  <si>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</si>
  <si>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</si>
  <si>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</si>
  <si>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</si>
  <si>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</si>
  <si>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</si>
  <si>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</si>
  <si>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</si>
  <si>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</si>
  <si>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</si>
  <si>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</si>
  <si>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</si>
  <si>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</si>
  <si>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</si>
  <si>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</si>
  <si>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</si>
  <si>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</si>
  <si>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</si>
  <si>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</si>
  <si>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</si>
  <si>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</si>
  <si>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</si>
  <si>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</si>
  <si>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</si>
  <si>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</si>
  <si>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</si>
  <si>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</si>
  <si>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</si>
  <si>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</si>
  <si>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</si>
  <si>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</si>
  <si>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</si>
  <si>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</si>
  <si>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</si>
  <si>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</si>
  <si>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</si>
  <si>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</si>
  <si>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</si>
  <si>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</si>
  <si>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</si>
  <si>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</si>
  <si>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</si>
  <si>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</si>
  <si>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</si>
  <si>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</si>
  <si>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</si>
  <si>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</si>
  <si>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</si>
  <si>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</si>
  <si>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</si>
  <si>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</si>
  <si>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</si>
  <si>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</si>
  <si>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</si>
  <si>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</si>
  <si>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</si>
  <si>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</si>
  <si>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</si>
  <si>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</si>
  <si>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</si>
  <si>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</si>
  <si>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</si>
  <si>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</si>
  <si>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</si>
  <si>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</si>
  <si>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</si>
  <si>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</si>
  <si>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</si>
  <si>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</si>
  <si>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</si>
  <si>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</si>
  <si>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</si>
  <si>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</si>
  <si>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</si>
  <si>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</si>
  <si>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</si>
  <si>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</si>
  <si>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</si>
  <si>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</si>
  <si>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</si>
  <si>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</si>
  <si>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</si>
  <si>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</si>
  <si>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</si>
  <si>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</si>
  <si>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</si>
  <si>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</si>
  <si>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</si>
  <si>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</si>
  <si>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</si>
  <si>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</si>
  <si>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</si>
  <si>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</si>
  <si>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</si>
  <si>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</si>
  <si>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</si>
  <si>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</si>
  <si>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</si>
  <si>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</si>
  <si>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</si>
  <si>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</si>
  <si>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</si>
  <si>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</si>
  <si>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</si>
  <si>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</si>
  <si>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</si>
  <si>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</si>
  <si>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</si>
  <si>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</si>
  <si>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</si>
  <si>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</si>
  <si>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</si>
  <si>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</si>
  <si>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</si>
  <si>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</si>
  <si>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</si>
  <si>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</si>
  <si>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</si>
  <si>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</si>
  <si>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</si>
  <si>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</si>
  <si>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</si>
  <si>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</si>
  <si>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</si>
  <si>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</si>
  <si>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</si>
  <si>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</si>
  <si>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</si>
  <si>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</si>
  <si>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</si>
  <si>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</si>
  <si>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</si>
  <si>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</si>
  <si>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</si>
  <si>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</si>
  <si>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</si>
  <si>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</si>
  <si>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</si>
  <si>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</si>
  <si>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</si>
  <si>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</si>
  <si>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</si>
  <si>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</si>
  <si>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</si>
  <si>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</si>
  <si>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</si>
  <si>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</si>
  <si>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</si>
  <si>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</si>
  <si>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</si>
  <si>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</si>
  <si>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</si>
  <si>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</si>
  <si>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</si>
  <si>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</si>
  <si>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</si>
  <si>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</si>
  <si>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</si>
  <si>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</si>
  <si>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</si>
  <si>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</si>
  <si>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</si>
  <si>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</si>
  <si>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</si>
  <si>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</si>
  <si>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</si>
  <si>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</si>
  <si>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</si>
  <si>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</si>
  <si>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</si>
  <si>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</si>
  <si>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</si>
  <si>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</si>
  <si>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</si>
  <si>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</si>
  <si>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</si>
  <si>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</si>
  <si>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</si>
  <si>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</si>
  <si>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</si>
  <si>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</si>
  <si>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</si>
  <si>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</si>
  <si>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</si>
  <si>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</si>
  <si>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</si>
  <si>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</si>
  <si>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</si>
  <si>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</si>
  <si>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</si>
  <si>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</si>
  <si>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</si>
  <si>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</si>
  <si>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</si>
  <si>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</si>
  <si>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</si>
  <si>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</si>
  <si>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</si>
  <si>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</si>
  <si>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</si>
  <si>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</si>
  <si>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</si>
  <si>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</si>
  <si>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</si>
  <si>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</si>
  <si>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</si>
  <si>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</si>
  <si>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</si>
  <si>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</si>
  <si>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</si>
  <si>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</si>
  <si>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</si>
  <si>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</si>
  <si>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</si>
  <si>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</si>
  <si>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</si>
  <si>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</si>
  <si>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</si>
  <si>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</si>
  <si>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</si>
  <si>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</si>
  <si>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</si>
  <si>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</si>
  <si>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</si>
  <si>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</si>
  <si>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</si>
  <si>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</si>
  <si>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</si>
  <si>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</si>
  <si>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</si>
  <si>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</si>
  <si>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</si>
  <si>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</si>
  <si>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</si>
  <si>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</si>
  <si>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</si>
  <si>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</si>
  <si>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</si>
  <si>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</si>
  <si>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</si>
  <si>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</si>
  <si>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</si>
  <si>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</si>
  <si>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</si>
  <si>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</si>
  <si>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</si>
  <si>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</si>
  <si>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</si>
  <si>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</si>
  <si>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</si>
  <si>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</si>
  <si>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</si>
  <si>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</si>
  <si>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</si>
  <si>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</si>
  <si>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</si>
  <si>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</si>
  <si>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</si>
  <si>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</si>
  <si>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</si>
  <si>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</si>
  <si>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</si>
  <si>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</si>
  <si>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</si>
  <si>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</si>
  <si>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</si>
  <si>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</si>
  <si>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</si>
  <si>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</si>
  <si>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</si>
  <si>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</si>
  <si>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</si>
  <si>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</si>
  <si>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</si>
  <si>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</si>
  <si>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</si>
  <si>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</si>
  <si>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</si>
  <si>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</si>
  <si>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</si>
  <si>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</si>
  <si>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</si>
  <si>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</si>
  <si>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</si>
  <si>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</si>
  <si>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</si>
  <si>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</si>
  <si>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</si>
  <si>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</si>
  <si>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</si>
  <si>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</si>
  <si>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</si>
  <si>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</si>
  <si>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</si>
  <si>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</si>
  <si>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</si>
  <si>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</si>
  <si>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</si>
  <si>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</si>
  <si>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</si>
  <si>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</si>
  <si>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</si>
  <si>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</si>
  <si>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</si>
  <si>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</si>
  <si>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</si>
  <si>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</si>
  <si>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</si>
  <si>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</si>
  <si>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</si>
  <si>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</si>
  <si>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</si>
  <si>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</si>
  <si>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</si>
  <si>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</si>
  <si>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</si>
  <si>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</si>
  <si>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</si>
  <si>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</si>
  <si>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</si>
  <si>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</si>
  <si>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</si>
  <si>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</si>
  <si>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</si>
  <si>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</si>
  <si>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</si>
  <si>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</si>
  <si>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</si>
  <si>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</si>
  <si>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</si>
  <si>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</si>
  <si>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</si>
  <si>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</si>
  <si>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</si>
  <si>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</si>
  <si>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</si>
  <si>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</si>
  <si>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</si>
  <si>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</si>
  <si>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</si>
  <si>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</si>
  <si>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</si>
  <si>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</si>
  <si>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</si>
  <si>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</si>
  <si>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</si>
  <si>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</si>
  <si>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</si>
  <si>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</si>
  <si>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</si>
  <si>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</si>
  <si>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</si>
  <si>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</si>
  <si>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</si>
  <si>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</si>
  <si>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</si>
  <si>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</si>
  <si>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</si>
  <si>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</si>
  <si>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</si>
  <si>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</si>
  <si>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</si>
  <si>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</si>
  <si>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</si>
  <si>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</si>
  <si>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</si>
  <si>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</si>
  <si>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</si>
  <si>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</si>
  <si>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</si>
  <si>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</si>
  <si>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</si>
  <si>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</si>
  <si>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</si>
  <si>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</si>
  <si>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</si>
  <si>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</si>
  <si>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</si>
  <si>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</si>
  <si>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</si>
  <si>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</si>
  <si>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</si>
  <si>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</si>
  <si>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</si>
  <si>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</si>
  <si>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</si>
  <si>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</si>
  <si>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</si>
  <si>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</si>
  <si>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</si>
  <si>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</si>
  <si>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</si>
  <si>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</si>
  <si>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</si>
  <si>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</si>
  <si>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</si>
  <si>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</si>
  <si>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</si>
  <si>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</si>
  <si>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</si>
  <si>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</si>
  <si>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</si>
  <si>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</si>
  <si>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</si>
  <si>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</si>
  <si>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</si>
  <si>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</si>
  <si>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</si>
  <si>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</si>
  <si>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</si>
  <si>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</si>
  <si>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</si>
  <si>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</si>
  <si>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</si>
  <si>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</si>
  <si>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</si>
  <si>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</si>
  <si>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</si>
  <si>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</si>
  <si>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</si>
  <si>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</si>
  <si>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</si>
  <si>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</si>
  <si>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</si>
  <si>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</si>
  <si>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</si>
  <si>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</si>
  <si>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</si>
  <si>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</si>
  <si>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</si>
  <si>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</si>
  <si>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</si>
  <si>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</si>
  <si>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</si>
  <si>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</si>
  <si>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</si>
  <si>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</si>
  <si>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</si>
  <si>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</si>
  <si>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</si>
  <si>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</si>
  <si>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</si>
  <si>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</si>
  <si>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</si>
  <si>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</si>
  <si>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</si>
  <si>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</si>
  <si>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</si>
  <si>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</si>
  <si>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</si>
  <si>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</si>
  <si>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</si>
  <si>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</si>
  <si>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</si>
  <si>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</si>
  <si>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</si>
  <si>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</si>
  <si>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</si>
  <si>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</si>
  <si>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</si>
  <si>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</si>
  <si>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</si>
  <si>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</si>
  <si>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</si>
  <si>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</si>
  <si>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</si>
  <si>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</si>
  <si>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</si>
  <si>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</si>
  <si>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</si>
  <si>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</si>
  <si>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</si>
  <si>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</si>
  <si>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</si>
  <si>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</si>
  <si>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</si>
  <si>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</si>
  <si>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</si>
  <si>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</si>
  <si>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</si>
  <si>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</si>
  <si>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</si>
  <si>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</si>
  <si>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</si>
  <si>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</si>
  <si>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</si>
  <si>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</si>
  <si>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</si>
  <si>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</si>
  <si>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</si>
  <si>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</si>
  <si>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</si>
  <si>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</si>
  <si>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</si>
  <si>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</si>
  <si>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</si>
  <si>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</si>
  <si>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</si>
  <si>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</si>
  <si>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</si>
  <si>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</si>
  <si>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</si>
  <si>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</si>
  <si>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</si>
  <si>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</si>
  <si>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</si>
  <si>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</si>
  <si>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</si>
  <si>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</si>
  <si>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</si>
  <si>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</si>
  <si>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</si>
  <si>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</si>
  <si>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</si>
  <si>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</si>
  <si>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</si>
  <si>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</si>
  <si>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</si>
  <si>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</si>
  <si>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</si>
  <si>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</si>
  <si>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</si>
  <si>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</si>
  <si>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</si>
  <si>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</si>
  <si>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</si>
  <si>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</si>
  <si>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</si>
  <si>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</si>
  <si>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</si>
  <si>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</si>
  <si>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</si>
  <si>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</si>
  <si>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</si>
  <si>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</si>
  <si>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</si>
  <si>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</si>
  <si>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</si>
  <si>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</si>
  <si>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</si>
  <si>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</si>
  <si>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</si>
  <si>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</si>
  <si>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</si>
  <si>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</si>
  <si>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</si>
  <si>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</si>
  <si>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</si>
  <si>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</si>
  <si>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</si>
  <si>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</si>
  <si>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</si>
  <si>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</si>
  <si>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</si>
  <si>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</si>
  <si>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</si>
  <si>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</si>
  <si>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</si>
  <si>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</si>
  <si>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</si>
  <si>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</si>
  <si>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</si>
  <si>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</si>
  <si>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</si>
  <si>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</si>
  <si>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</si>
  <si>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</si>
  <si>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</si>
  <si>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</si>
  <si>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</si>
  <si>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</si>
  <si>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</si>
  <si>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</si>
  <si>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</si>
  <si>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</si>
  <si>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</si>
  <si>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</si>
  <si>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</si>
  <si>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</si>
  <si>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</si>
  <si>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</si>
  <si>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</si>
  <si>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</si>
  <si>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</si>
  <si>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</si>
  <si>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</si>
  <si>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</si>
  <si>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</si>
  <si>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</si>
  <si>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</si>
  <si>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</si>
  <si>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</si>
  <si>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</si>
  <si>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</si>
  <si>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</si>
  <si>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</si>
  <si>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</si>
  <si>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</si>
  <si>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</si>
  <si>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</si>
  <si>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</si>
  <si>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</si>
  <si>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</si>
  <si>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</si>
  <si>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</si>
  <si>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</si>
  <si>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</si>
  <si>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</si>
  <si>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</si>
  <si>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</si>
  <si>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</si>
  <si>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</si>
  <si>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</si>
  <si>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</si>
  <si>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</si>
  <si>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</si>
  <si>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</si>
  <si>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</si>
  <si>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</si>
  <si>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</si>
  <si>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</si>
  <si>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</si>
  <si>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</si>
  <si>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</si>
  <si>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</si>
  <si>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</si>
  <si>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</si>
  <si>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</si>
  <si>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</si>
  <si>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</si>
  <si>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</si>
  <si>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</si>
  <si>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</si>
  <si>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</si>
  <si>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</si>
  <si>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</si>
  <si>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</si>
  <si>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</si>
  <si>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</si>
  <si>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</si>
  <si>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</si>
  <si>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</si>
  <si>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</si>
  <si>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</si>
  <si>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</si>
  <si>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</si>
  <si>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</si>
  <si>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</si>
  <si>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</si>
  <si>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</si>
  <si>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</si>
  <si>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</si>
  <si>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</si>
  <si>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</si>
  <si>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</si>
  <si>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</si>
  <si>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</si>
  <si>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</si>
  <si>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</si>
  <si>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</si>
  <si>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</si>
  <si>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</si>
  <si>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</si>
  <si>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</si>
  <si>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</si>
  <si>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</si>
  <si>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</si>
  <si>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</si>
  <si>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</si>
  <si>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</si>
  <si>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</si>
  <si>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</si>
  <si>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</si>
  <si>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</si>
  <si>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</si>
  <si>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</si>
  <si>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</si>
  <si>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</si>
  <si>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</si>
  <si>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</si>
  <si>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</si>
  <si>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</si>
  <si>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</si>
  <si>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</si>
  <si>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</si>
  <si>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</si>
  <si>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</si>
  <si>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</si>
  <si>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</si>
  <si>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</si>
  <si>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</si>
  <si>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</si>
  <si>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</si>
  <si>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</si>
  <si>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</si>
  <si>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</si>
  <si>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</si>
  <si>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</si>
  <si>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</si>
  <si>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</si>
  <si>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</si>
  <si>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</si>
  <si>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</si>
  <si>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</si>
  <si>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</si>
  <si>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</si>
  <si>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</si>
  <si>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</si>
  <si>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</si>
  <si>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</si>
  <si>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</si>
  <si>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</si>
  <si>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</si>
  <si>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</si>
  <si>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</si>
  <si>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</si>
  <si>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</si>
  <si>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</si>
  <si>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</si>
  <si>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</si>
  <si>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</si>
  <si>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</si>
  <si>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</si>
  <si>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</si>
  <si>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</si>
  <si>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</si>
  <si>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</si>
  <si>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</si>
  <si>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</si>
  <si>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</si>
  <si>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</si>
  <si>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</si>
  <si>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</si>
  <si>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</si>
  <si>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</si>
  <si>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</si>
  <si>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</si>
  <si>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</si>
  <si>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</si>
  <si>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</si>
  <si>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</si>
  <si>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</si>
  <si>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</si>
  <si>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</si>
  <si>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</si>
  <si>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</si>
  <si>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</si>
  <si>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</si>
  <si>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</si>
  <si>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</si>
  <si>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</si>
  <si>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</si>
  <si>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</si>
  <si>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</si>
  <si>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</si>
  <si>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</si>
  <si>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</si>
  <si>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</si>
  <si>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</si>
  <si>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</si>
  <si>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</si>
  <si>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</si>
  <si>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</si>
  <si>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</si>
  <si>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</si>
  <si>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</si>
  <si>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</si>
  <si>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</si>
  <si>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</si>
  <si>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</si>
  <si>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</si>
  <si>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</si>
  <si>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</si>
  <si>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</si>
  <si>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</si>
  <si>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</si>
  <si>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</si>
  <si>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</si>
  <si>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</si>
  <si>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</si>
  <si>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</si>
  <si>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</si>
  <si>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</si>
  <si>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</si>
  <si>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</si>
  <si>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</si>
  <si>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</si>
  <si>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</si>
  <si>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</si>
  <si>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</si>
  <si>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</si>
  <si>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</si>
  <si>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</si>
  <si>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</si>
  <si>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</si>
  <si>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</si>
  <si>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</si>
  <si>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</si>
  <si>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</si>
  <si>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</si>
  <si>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</si>
  <si>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</si>
  <si>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</si>
  <si>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</si>
  <si>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</si>
  <si>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</si>
  <si>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</si>
  <si>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</si>
  <si>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</si>
  <si>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</si>
  <si>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</si>
  <si>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</si>
  <si>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</si>
  <si>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</si>
  <si>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</si>
  <si>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</si>
  <si>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</si>
  <si>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</si>
  <si>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</si>
  <si>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</si>
  <si>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</si>
  <si>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</si>
  <si>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</si>
  <si>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</si>
  <si>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</si>
  <si>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</si>
  <si>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</si>
  <si>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</si>
  <si>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</si>
  <si>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</si>
  <si>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</si>
  <si>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</si>
  <si>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</si>
  <si>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</si>
  <si>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</si>
  <si>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</si>
  <si>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</si>
  <si>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</si>
  <si>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</si>
  <si>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</si>
  <si>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</si>
  <si>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</si>
  <si>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</si>
  <si>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</si>
  <si>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</si>
  <si>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</si>
  <si>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</si>
  <si>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</si>
  <si>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</si>
  <si>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</si>
  <si>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</si>
  <si>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</si>
  <si>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</si>
  <si>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</si>
  <si>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</si>
  <si>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</si>
  <si>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</si>
  <si>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</si>
  <si>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</si>
  <si>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</si>
  <si>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</si>
  <si>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</si>
  <si>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</si>
  <si>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</si>
  <si>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</si>
  <si>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</si>
  <si>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</si>
  <si>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</si>
  <si>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</si>
  <si>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</si>
  <si>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</si>
  <si>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</si>
  <si>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</si>
  <si>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</si>
  <si>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</si>
  <si>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</si>
  <si>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</si>
  <si>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</si>
  <si>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</si>
  <si>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</si>
  <si>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</si>
  <si>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</si>
  <si>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</si>
  <si>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</si>
  <si>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</si>
  <si>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</si>
  <si>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</si>
  <si>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</si>
  <si>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</si>
  <si>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</si>
  <si>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</si>
  <si>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</si>
  <si>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</si>
  <si>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</si>
  <si>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</si>
  <si>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</si>
  <si>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</si>
  <si>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</si>
  <si>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</si>
  <si>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</si>
  <si>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</si>
  <si>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</si>
  <si>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</si>
  <si>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</si>
  <si>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</si>
  <si>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</si>
  <si>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</si>
  <si>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</si>
  <si>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</si>
  <si>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</si>
  <si>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</si>
  <si>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</si>
  <si>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</si>
  <si>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</si>
  <si>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</si>
  <si>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</si>
  <si>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</si>
  <si>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</si>
  <si>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</si>
  <si>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</si>
  <si>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</si>
  <si>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</si>
  <si>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</si>
  <si>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</si>
  <si>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</si>
  <si>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</si>
  <si>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</si>
  <si>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</si>
  <si>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</si>
  <si>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</si>
  <si>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</si>
  <si>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</si>
  <si>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</si>
  <si>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</si>
  <si>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</si>
  <si>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</si>
  <si>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</si>
  <si>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</si>
  <si>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</si>
  <si>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</si>
  <si>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</si>
  <si>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</si>
  <si>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</si>
  <si>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</si>
  <si>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</si>
  <si>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</si>
  <si>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</si>
  <si>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</si>
  <si>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</si>
  <si>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</si>
  <si>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</si>
  <si>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</si>
  <si>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</si>
  <si>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</si>
  <si>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</si>
  <si>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</si>
  <si>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</si>
  <si>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</si>
  <si>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</si>
  <si>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</si>
  <si>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</si>
  <si>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</si>
  <si>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</si>
  <si>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</si>
  <si>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</si>
  <si>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</si>
  <si>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</si>
  <si>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</si>
  <si>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</si>
  <si>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</si>
  <si>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</si>
  <si>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</si>
  <si>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</si>
  <si>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</si>
  <si>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</si>
  <si>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</si>
  <si>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</si>
  <si>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</si>
  <si>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</si>
  <si>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</si>
  <si>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</si>
  <si>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</si>
  <si>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</si>
  <si>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</si>
  <si>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</si>
  <si>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</si>
  <si>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</si>
  <si>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</si>
  <si>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</si>
  <si>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</si>
  <si>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</si>
  <si>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</si>
  <si>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</si>
  <si>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</si>
  <si>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</si>
  <si>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</si>
  <si>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</si>
  <si>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</si>
  <si>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</si>
  <si>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</si>
  <si>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</si>
  <si>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</si>
  <si>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</si>
  <si>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</si>
  <si>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</si>
  <si>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</si>
  <si>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</si>
  <si>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</si>
  <si>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</si>
  <si>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</si>
  <si>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</si>
  <si>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</si>
  <si>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</si>
  <si>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</si>
  <si>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</si>
  <si>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</si>
  <si>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</si>
  <si>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</si>
  <si>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</si>
  <si>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</si>
  <si>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</si>
  <si>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</si>
  <si>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</si>
  <si>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</si>
  <si>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</si>
  <si>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</si>
  <si>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</si>
  <si>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</si>
  <si>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</si>
  <si>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</si>
  <si>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</si>
  <si>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</si>
  <si>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</si>
  <si>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</si>
  <si>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</si>
  <si>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</si>
  <si>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</si>
  <si>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</si>
  <si>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</si>
  <si>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</si>
  <si>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</si>
  <si>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</si>
  <si>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</si>
  <si>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</si>
  <si>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</si>
  <si>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</si>
  <si>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</si>
  <si>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</si>
  <si>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</si>
  <si>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</si>
  <si>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</si>
  <si>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</si>
  <si>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</si>
  <si>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</si>
  <si>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</si>
  <si>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</si>
  <si>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</si>
  <si>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</si>
  <si>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</si>
  <si>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</si>
  <si>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</si>
  <si>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</si>
  <si>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</si>
  <si>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</si>
  <si>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</si>
  <si>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</si>
  <si>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</si>
  <si>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</si>
  <si>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</si>
  <si>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</si>
  <si>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</si>
  <si>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</si>
  <si>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</si>
  <si>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</si>
  <si>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</si>
  <si>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</si>
  <si>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</si>
  <si>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</si>
  <si>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</si>
  <si>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</si>
  <si>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</si>
  <si>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</si>
  <si>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</si>
  <si>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</si>
  <si>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</si>
  <si>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</si>
  <si>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</si>
  <si>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</si>
  <si>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</si>
  <si>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</si>
  <si>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</si>
  <si>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</si>
  <si>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</si>
  <si>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</si>
  <si>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</si>
  <si>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</si>
  <si>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</si>
  <si>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</si>
  <si>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</si>
  <si>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</si>
  <si>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</si>
  <si>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</si>
  <si>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</si>
  <si>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</si>
  <si>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</si>
  <si>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</si>
  <si>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</si>
  <si>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</si>
  <si>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</si>
  <si>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</si>
  <si>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</si>
  <si>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</si>
  <si>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</si>
  <si>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</si>
  <si>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</si>
  <si>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</si>
  <si>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</si>
  <si>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</si>
  <si>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</si>
  <si>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</si>
  <si>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</si>
  <si>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</si>
  <si>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</si>
  <si>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</si>
  <si>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</si>
  <si>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</si>
  <si>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</si>
  <si>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</si>
  <si>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</si>
  <si>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</si>
  <si>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</si>
  <si>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</si>
  <si>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</si>
  <si>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</si>
  <si>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</si>
  <si>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</si>
  <si>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</si>
  <si>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</si>
  <si>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</si>
  <si>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</si>
  <si>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</si>
  <si>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</si>
  <si>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</si>
  <si>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</si>
  <si>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</si>
  <si>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</si>
  <si>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</si>
  <si>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</si>
  <si>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</si>
  <si>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</si>
  <si>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</si>
  <si>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</si>
  <si>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</si>
  <si>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</si>
  <si>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</si>
  <si>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</si>
  <si>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</si>
  <si>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</si>
  <si>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</si>
  <si>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</si>
  <si>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</si>
  <si>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</si>
  <si>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</si>
  <si>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</si>
  <si>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</si>
  <si>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</si>
  <si>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</si>
  <si>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</si>
  <si>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</si>
  <si>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</si>
  <si>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</si>
  <si>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</si>
  <si>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</si>
  <si>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</si>
  <si>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</si>
  <si>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</si>
  <si>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</si>
  <si>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</si>
  <si>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</si>
  <si>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</si>
  <si>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</si>
  <si>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</si>
  <si>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</si>
  <si>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</si>
  <si>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</si>
  <si>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</si>
  <si>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</si>
  <si>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</si>
  <si>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</si>
  <si>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</si>
  <si>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</si>
  <si>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</si>
  <si>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</si>
  <si>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</si>
  <si>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</si>
  <si>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</si>
  <si>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</si>
  <si>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</si>
  <si>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</si>
  <si>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</si>
  <si>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</si>
  <si>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</si>
  <si>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</si>
  <si>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</si>
  <si>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</si>
  <si>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</si>
  <si>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</si>
  <si>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</si>
  <si>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</si>
  <si>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</si>
  <si>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</si>
  <si>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</si>
  <si>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</si>
  <si>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</si>
  <si>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</si>
  <si>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</si>
  <si>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</si>
  <si>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</si>
  <si>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</si>
  <si>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</si>
  <si>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</si>
  <si>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</si>
  <si>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</si>
  <si>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</si>
  <si>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</si>
  <si>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</si>
  <si>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</si>
  <si>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</si>
  <si>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</si>
  <si>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</si>
  <si>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</si>
  <si>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</si>
  <si>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</si>
  <si>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</si>
  <si>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</si>
  <si>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</si>
  <si>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</si>
  <si>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</si>
  <si>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</si>
  <si>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</si>
  <si>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</si>
  <si>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</si>
  <si>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</si>
  <si>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</si>
  <si>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</si>
  <si>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</si>
  <si>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</si>
  <si>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</si>
  <si>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</si>
  <si>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</si>
  <si>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</si>
  <si>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</si>
  <si>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</si>
  <si>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</si>
  <si>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</si>
  <si>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</si>
  <si>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</si>
  <si>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</si>
  <si>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</si>
  <si>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</si>
  <si>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</si>
  <si>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</si>
  <si>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</si>
  <si>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</si>
  <si>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</si>
  <si>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</si>
  <si>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</si>
  <si>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</si>
  <si>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</si>
  <si>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</si>
  <si>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</si>
  <si>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</si>
  <si>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</si>
  <si>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</si>
  <si>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</si>
  <si>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</si>
  <si>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</si>
  <si>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</si>
  <si>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</si>
  <si>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</si>
  <si>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</si>
  <si>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</si>
  <si>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</si>
  <si>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</si>
  <si>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</si>
  <si>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</si>
  <si>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</si>
  <si>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</si>
  <si>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</si>
  <si>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</si>
  <si>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</si>
  <si>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</si>
  <si>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</si>
  <si>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</si>
  <si>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</si>
  <si>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</si>
  <si>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</si>
  <si>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</si>
  <si>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</si>
  <si>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</si>
  <si>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</si>
  <si>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</si>
  <si>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</si>
  <si>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</si>
  <si>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</si>
  <si>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</si>
  <si>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</si>
  <si>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</si>
  <si>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</si>
  <si>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</si>
  <si>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</si>
  <si>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</si>
  <si>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</si>
  <si>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</si>
  <si>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</si>
  <si>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</si>
  <si>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</si>
  <si>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</si>
  <si>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</si>
  <si>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</si>
  <si>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</si>
  <si>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</si>
  <si>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</si>
  <si>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</si>
  <si>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</si>
  <si>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</si>
  <si>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</si>
  <si>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</si>
  <si>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</si>
  <si>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</si>
  <si>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</si>
  <si>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</si>
  <si>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</si>
  <si>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</si>
  <si>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</si>
  <si>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</si>
  <si>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</si>
  <si>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</si>
  <si>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</si>
  <si>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</si>
  <si>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</si>
  <si>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</si>
  <si>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</si>
  <si>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</si>
  <si>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</si>
  <si>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</si>
  <si>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</si>
  <si>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</si>
  <si>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</si>
  <si>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</si>
  <si>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</si>
  <si>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</si>
  <si>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</si>
  <si>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</si>
  <si>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</si>
  <si>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</si>
  <si>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</si>
  <si>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</si>
  <si>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</si>
  <si>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</si>
  <si>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</si>
  <si>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</si>
  <si>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</si>
  <si>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</si>
  <si>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</si>
  <si>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</si>
  <si>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</si>
  <si>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</si>
  <si>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</si>
  <si>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</si>
  <si>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</si>
  <si>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</si>
  <si>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</si>
  <si>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</si>
  <si>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</si>
  <si>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</si>
  <si>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</si>
  <si>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</si>
  <si>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</si>
  <si>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</si>
  <si>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</si>
  <si>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</si>
  <si>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</si>
  <si>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</si>
  <si>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</si>
  <si>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</si>
  <si>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</si>
  <si>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</si>
  <si>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</si>
  <si>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</si>
  <si>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</si>
  <si>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</si>
  <si>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</si>
  <si>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</si>
  <si>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</si>
  <si>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</si>
  <si>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</si>
  <si>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</si>
  <si>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</si>
  <si>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</si>
  <si>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</si>
  <si>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</si>
  <si>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</si>
  <si>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</si>
  <si>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</si>
  <si>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</si>
  <si>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</si>
  <si>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</si>
  <si>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</si>
  <si>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</si>
  <si>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</si>
  <si>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</si>
  <si>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</si>
  <si>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</si>
  <si>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</si>
  <si>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</si>
  <si>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</si>
  <si>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</si>
  <si>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</si>
  <si>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</si>
  <si>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</si>
  <si>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</si>
  <si>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</si>
  <si>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</si>
  <si>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</si>
  <si>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</si>
  <si>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</si>
  <si>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</si>
  <si>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</si>
  <si>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</si>
  <si>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</si>
  <si>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</si>
  <si>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</si>
  <si>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</si>
  <si>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</si>
  <si>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</si>
  <si>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</si>
  <si>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</si>
  <si>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</si>
  <si>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</si>
  <si>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</si>
  <si>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</si>
  <si>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</si>
  <si>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</si>
  <si>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</si>
  <si>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</si>
  <si>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</si>
  <si>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</si>
  <si>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</si>
  <si>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</si>
  <si>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</si>
  <si>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</si>
  <si>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</si>
  <si>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</si>
  <si>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</si>
  <si>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</si>
  <si>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</si>
  <si>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</si>
  <si>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</si>
  <si>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</si>
  <si>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</si>
  <si>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</si>
  <si>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</si>
  <si>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</si>
  <si>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</si>
  <si>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</si>
  <si>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</si>
  <si>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</si>
  <si>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</si>
  <si>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</si>
  <si>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</si>
  <si>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</si>
  <si>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</si>
  <si>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</si>
  <si>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</si>
  <si>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</si>
  <si>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</si>
  <si>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</si>
  <si>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</si>
  <si>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</si>
  <si>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</si>
  <si>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</si>
  <si>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</si>
  <si>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</si>
  <si>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</si>
  <si>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</si>
  <si>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</si>
  <si>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</si>
  <si>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</si>
  <si>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</si>
  <si>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</si>
  <si>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</si>
  <si>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</si>
  <si>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</si>
  <si>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</si>
  <si>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</si>
  <si>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</si>
  <si>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</si>
  <si>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</si>
  <si>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</si>
  <si>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</si>
  <si>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</si>
  <si>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</si>
  <si>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</si>
  <si>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</si>
  <si>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</si>
  <si>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</si>
  <si>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</si>
  <si>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</si>
  <si>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</si>
  <si>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</si>
  <si>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</si>
  <si>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</si>
  <si>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</si>
  <si>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</si>
  <si>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</si>
  <si>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</si>
  <si>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</si>
  <si>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</si>
  <si>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</si>
  <si>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</si>
  <si>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</si>
  <si>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</si>
  <si>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</si>
  <si>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</si>
  <si>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</si>
  <si>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</si>
  <si>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</si>
  <si>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</si>
  <si>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</si>
  <si>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</si>
  <si>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</si>
  <si>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</si>
  <si>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</si>
  <si>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</si>
  <si>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</si>
  <si>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</si>
  <si>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</si>
  <si>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</si>
  <si>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</si>
  <si>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</si>
  <si>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</si>
  <si>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</si>
  <si>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</si>
  <si>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</si>
  <si>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</si>
  <si>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</si>
  <si>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</si>
  <si>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</si>
  <si>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</si>
  <si>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</si>
  <si>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</si>
  <si>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</si>
  <si>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</si>
  <si>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</si>
  <si>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</si>
  <si>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</si>
  <si>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</si>
  <si>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</si>
  <si>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</si>
  <si>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</si>
  <si>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</si>
  <si>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</si>
  <si>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</si>
  <si>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</si>
  <si>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</si>
  <si>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</si>
  <si>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</si>
  <si>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</si>
  <si>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</si>
  <si>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</si>
  <si>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</si>
  <si>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</si>
  <si>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</si>
  <si>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</si>
  <si>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</si>
  <si>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</si>
  <si>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</si>
  <si>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</si>
  <si>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</si>
  <si>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</si>
  <si>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</si>
  <si>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</si>
  <si>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</si>
  <si>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</si>
  <si>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</si>
  <si>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</si>
  <si>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</si>
  <si>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</si>
  <si>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</si>
  <si>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</si>
  <si>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</si>
  <si>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</si>
  <si>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</si>
  <si>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</si>
  <si>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</si>
  <si>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</si>
  <si>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</si>
  <si>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</si>
  <si>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</si>
  <si>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</si>
  <si>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</si>
  <si>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</si>
  <si>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</si>
  <si>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</si>
  <si>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</si>
  <si>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</si>
  <si>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</si>
  <si>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</si>
  <si>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</si>
  <si>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</si>
  <si>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</si>
  <si>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</si>
  <si>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</si>
  <si>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</si>
  <si>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</si>
  <si>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</si>
  <si>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</si>
  <si>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</si>
  <si>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</si>
  <si>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</si>
  <si>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</si>
  <si>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</si>
  <si>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</si>
  <si>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</si>
  <si>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</si>
  <si>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</si>
  <si>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</si>
  <si>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</si>
  <si>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</si>
  <si>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</si>
  <si>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</si>
  <si>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</si>
  <si>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</si>
  <si>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</si>
  <si>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</si>
  <si>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</si>
  <si>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</si>
  <si>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</si>
  <si>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</si>
  <si>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</si>
  <si>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</si>
  <si>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</si>
  <si>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</si>
  <si>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</si>
  <si>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</si>
  <si>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</si>
  <si>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</si>
  <si>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</si>
  <si>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</si>
  <si>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</si>
  <si>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</si>
  <si>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</si>
  <si>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</si>
  <si>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</si>
  <si>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</si>
  <si>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</si>
  <si>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</si>
  <si>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</si>
  <si>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</si>
  <si>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</si>
  <si>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</si>
  <si>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</si>
  <si>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</si>
  <si>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</si>
  <si>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</si>
  <si>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</si>
  <si>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</si>
  <si>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</si>
  <si>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</si>
  <si>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</si>
  <si>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</si>
  <si>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</si>
  <si>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</si>
  <si>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</si>
  <si>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</si>
  <si>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</si>
  <si>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</si>
  <si>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</si>
  <si>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</si>
  <si>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</si>
  <si>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</si>
  <si>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</si>
  <si>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</si>
  <si>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</si>
  <si>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</si>
  <si>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</si>
  <si>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</si>
  <si>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</si>
  <si>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</si>
  <si>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</si>
  <si>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</si>
  <si>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</si>
  <si>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</si>
  <si>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</si>
  <si>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</si>
  <si>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</si>
  <si>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</si>
  <si>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</si>
  <si>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</si>
  <si>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</si>
  <si>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</si>
  <si>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</si>
  <si>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</si>
  <si>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</si>
  <si>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</si>
  <si>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</si>
  <si>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</si>
  <si>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</si>
  <si>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</si>
  <si>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</si>
  <si>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</si>
  <si>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</si>
  <si>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</si>
  <si>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</si>
  <si>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</si>
  <si>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</si>
  <si>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</si>
  <si>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</si>
  <si>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</si>
  <si>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</si>
  <si>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</si>
  <si>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</si>
  <si>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</si>
  <si>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</si>
  <si>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</si>
  <si>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</si>
  <si>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</si>
  <si>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</si>
  <si>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</si>
  <si>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</si>
  <si>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</si>
  <si>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</si>
  <si>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</si>
  <si>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</si>
  <si>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</si>
  <si>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</si>
  <si>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</si>
  <si>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</si>
  <si>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</si>
  <si>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</si>
  <si>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</si>
  <si>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</si>
  <si>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</si>
  <si>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</si>
  <si>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</si>
  <si>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</si>
  <si>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</si>
  <si>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</si>
  <si>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</si>
  <si>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</si>
  <si>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</si>
  <si>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</si>
  <si>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</si>
  <si>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</si>
  <si>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</si>
  <si>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</si>
  <si>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</si>
  <si>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</si>
  <si>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</si>
  <si>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</si>
  <si>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</si>
  <si>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</si>
  <si>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</si>
  <si>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</si>
  <si>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</si>
  <si>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</si>
  <si>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</si>
  <si>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</si>
  <si>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</si>
  <si>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</si>
  <si>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</si>
  <si>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</si>
  <si>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</si>
  <si>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</si>
  <si>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</si>
  <si>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</si>
  <si>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</si>
  <si>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</si>
  <si>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</si>
  <si>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</si>
  <si>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</si>
  <si>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</si>
  <si>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</si>
  <si>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</si>
  <si>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</si>
  <si>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</si>
  <si>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</si>
  <si>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</si>
  <si>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</si>
  <si>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</si>
  <si>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</si>
  <si>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</si>
  <si>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</si>
  <si>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</si>
  <si>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</si>
  <si>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</si>
  <si>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</si>
  <si>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</si>
  <si>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</si>
  <si>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</si>
  <si>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</si>
  <si>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</si>
  <si>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</si>
  <si>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</si>
  <si>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</si>
  <si>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</si>
  <si>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</si>
  <si>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</si>
  <si>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</si>
  <si>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</si>
  <si>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</si>
  <si>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</si>
  <si>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</si>
  <si>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</si>
  <si>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</si>
  <si>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</si>
  <si>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</si>
  <si>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</si>
  <si>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</si>
  <si>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</si>
  <si>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</si>
  <si>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</si>
  <si>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</si>
  <si>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</si>
  <si>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</si>
  <si>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</si>
  <si>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</si>
  <si>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</si>
  <si>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</si>
  <si>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</si>
  <si>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</si>
  <si>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</si>
  <si>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</si>
  <si>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</si>
  <si>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</si>
  <si>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</si>
  <si>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</si>
  <si>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</si>
  <si>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</si>
  <si>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</si>
  <si>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</si>
  <si>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</si>
  <si>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</si>
  <si>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</si>
  <si>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</si>
  <si>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</si>
  <si>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</si>
  <si>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</si>
  <si>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</si>
  <si>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</si>
  <si>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</si>
  <si>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</si>
  <si>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</si>
  <si>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</si>
  <si>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</si>
  <si>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</si>
  <si>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</si>
  <si>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</si>
  <si>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</si>
  <si>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</si>
  <si>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</si>
  <si>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</si>
  <si>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</si>
  <si>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</si>
  <si>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</si>
  <si>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</si>
  <si>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</si>
  <si>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</si>
  <si>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</si>
  <si>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</si>
  <si>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</si>
  <si>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</si>
  <si>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</si>
  <si>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</si>
  <si>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</si>
  <si>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</si>
  <si>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</si>
  <si>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</si>
  <si>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</si>
  <si>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</si>
  <si>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</si>
  <si>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</si>
  <si>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</si>
  <si>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</si>
  <si>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</si>
  <si>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</si>
  <si>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</si>
  <si>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</si>
  <si>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</si>
  <si>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</si>
  <si>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</si>
  <si>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</si>
  <si>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</si>
  <si>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</si>
  <si>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</si>
  <si>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</si>
  <si>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</si>
  <si>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</si>
  <si>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</si>
  <si>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</si>
  <si>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</si>
  <si>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</si>
  <si>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</si>
  <si>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</si>
  <si>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</si>
  <si>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</si>
  <si>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</si>
  <si>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</si>
  <si>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</si>
  <si>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</si>
  <si>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</si>
  <si>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</si>
  <si>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</si>
  <si>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</si>
  <si>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</si>
  <si>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</si>
  <si>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</si>
  <si>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</si>
  <si>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</si>
  <si>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</si>
  <si>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</si>
  <si>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</si>
  <si>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</si>
  <si>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</si>
  <si>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</si>
  <si>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</si>
  <si>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</si>
  <si>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</si>
  <si>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</si>
  <si>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</si>
  <si>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</si>
  <si>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</si>
  <si>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</si>
  <si>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</si>
  <si>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</si>
  <si>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</si>
  <si>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</si>
  <si>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</si>
  <si>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</si>
  <si>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</si>
  <si>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</si>
  <si>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</si>
  <si>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</si>
  <si>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</si>
  <si>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</si>
  <si>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</si>
  <si>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</si>
  <si>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</si>
  <si>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</si>
  <si>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</si>
  <si>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</si>
  <si>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</si>
  <si>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</si>
  <si>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</si>
  <si>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</si>
  <si>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</si>
  <si>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</si>
  <si>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</si>
  <si>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</si>
  <si>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</si>
  <si>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</si>
  <si>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</si>
  <si>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</si>
  <si>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</si>
  <si>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</si>
  <si>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</si>
  <si>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</si>
  <si>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</si>
  <si>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</si>
  <si>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</si>
  <si>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</si>
  <si>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</si>
  <si>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</si>
  <si>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</si>
  <si>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</si>
  <si>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</si>
  <si>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</si>
  <si>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</si>
  <si>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</si>
  <si>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</si>
  <si>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</si>
  <si>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</si>
  <si>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</si>
  <si>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</si>
  <si>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</si>
  <si>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</si>
  <si>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</si>
  <si>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</si>
  <si>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</si>
  <si>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</si>
  <si>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</si>
  <si>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</si>
  <si>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</si>
  <si>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</si>
  <si>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</si>
  <si>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</si>
  <si>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</si>
  <si>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</si>
  <si>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</si>
  <si>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</si>
  <si>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</si>
  <si>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</si>
  <si>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</si>
  <si>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</si>
  <si>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</si>
  <si>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</si>
  <si>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</si>
  <si>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</si>
  <si>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</si>
  <si>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</si>
  <si>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</si>
  <si>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</si>
  <si>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</si>
  <si>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</si>
  <si>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</si>
  <si>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</si>
  <si>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</si>
  <si>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</si>
  <si>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</si>
  <si>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</si>
  <si>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</si>
  <si>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</si>
  <si>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</si>
  <si>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</si>
  <si>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</si>
  <si>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</si>
  <si>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</si>
  <si>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</si>
  <si>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</si>
  <si>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</si>
  <si>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</si>
  <si>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</si>
  <si>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</si>
  <si>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</si>
  <si>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</si>
  <si>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</si>
  <si>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</si>
  <si>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</si>
  <si>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</si>
  <si>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</si>
  <si>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</si>
  <si>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</si>
  <si>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</si>
  <si>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</si>
  <si>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</si>
  <si>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</si>
  <si>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</si>
  <si>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</si>
  <si>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</si>
  <si>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</si>
  <si>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</si>
  <si>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</si>
  <si>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</si>
  <si>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</si>
  <si>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</si>
  <si>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</si>
  <si>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</si>
  <si>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</si>
  <si>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</si>
  <si>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</si>
  <si>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</si>
  <si>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</si>
  <si>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</si>
  <si>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</si>
  <si>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</si>
  <si>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</si>
  <si>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</si>
  <si>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</si>
  <si>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</si>
  <si>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</si>
  <si>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</si>
  <si>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</si>
  <si>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</si>
  <si>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</si>
  <si>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</si>
  <si>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</si>
  <si>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</si>
  <si>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</si>
  <si>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</si>
  <si>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</si>
  <si>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</si>
  <si>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</si>
  <si>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</si>
  <si>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</si>
  <si>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</si>
  <si>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</si>
  <si>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</si>
  <si>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</si>
  <si>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</si>
  <si>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</si>
  <si>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</si>
  <si>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</si>
  <si>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</si>
  <si>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</si>
  <si>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</si>
  <si>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</si>
  <si>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</si>
  <si>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</si>
  <si>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</si>
  <si>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</si>
  <si>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</si>
  <si>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</si>
  <si>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</si>
  <si>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</si>
  <si>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</si>
  <si>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</si>
  <si>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</si>
  <si>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</si>
  <si>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</si>
  <si>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</si>
  <si>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</si>
  <si>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</si>
  <si>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</si>
  <si>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</si>
  <si>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</si>
  <si>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</si>
  <si>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</si>
  <si>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</si>
  <si>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</si>
  <si>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</si>
  <si>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</si>
  <si>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</si>
  <si>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</si>
  <si>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</si>
  <si>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</si>
  <si>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</si>
  <si>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</si>
  <si>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</si>
  <si>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</si>
  <si>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</si>
  <si>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</si>
  <si>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</si>
  <si>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</si>
  <si>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</si>
  <si>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</si>
  <si>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</si>
  <si>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</si>
  <si>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</si>
  <si>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</si>
  <si>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</si>
  <si>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</si>
  <si>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</si>
  <si>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</si>
  <si>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</si>
  <si>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</si>
  <si>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</si>
  <si>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</si>
  <si>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</si>
  <si>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</si>
  <si>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</si>
  <si>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</si>
  <si>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</si>
  <si>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</si>
  <si>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</si>
  <si>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</si>
  <si>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</si>
  <si>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</si>
  <si>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</si>
  <si>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</si>
  <si>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</si>
  <si>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</si>
  <si>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</si>
  <si>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</si>
  <si>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</si>
  <si>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</si>
  <si>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</si>
  <si>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</si>
  <si>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</si>
  <si>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</si>
  <si>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</si>
  <si>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</si>
  <si>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</si>
  <si>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</si>
  <si>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</si>
  <si>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</si>
  <si>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</si>
  <si>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</si>
  <si>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</si>
  <si>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</si>
  <si>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</si>
  <si>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</si>
  <si>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</si>
  <si>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</si>
  <si>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</si>
  <si>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</si>
  <si>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</si>
  <si>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</si>
  <si>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</si>
  <si>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</si>
  <si>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</si>
  <si>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</si>
  <si>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</si>
  <si>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</si>
  <si>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</si>
  <si>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</si>
  <si>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</si>
  <si>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</si>
  <si>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</si>
  <si>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</si>
  <si>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</si>
  <si>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</si>
  <si>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</si>
  <si>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</si>
  <si>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</si>
  <si>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</si>
  <si>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</si>
  <si>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</si>
  <si>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</si>
  <si>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</si>
  <si>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</si>
  <si>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</si>
  <si>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</si>
  <si>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</si>
  <si>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</si>
  <si>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</si>
  <si>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</si>
  <si>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</si>
  <si>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</si>
  <si>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</si>
  <si>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</si>
  <si>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</si>
  <si>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</si>
  <si>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</si>
  <si>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</si>
  <si>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</si>
  <si>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</si>
  <si>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</si>
  <si>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</si>
  <si>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</si>
  <si>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</si>
  <si>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</si>
  <si>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</si>
  <si>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</si>
  <si>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</si>
  <si>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</si>
  <si>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</si>
  <si>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</si>
  <si>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</si>
  <si>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</si>
  <si>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</si>
  <si>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</si>
  <si>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</si>
  <si>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</si>
  <si>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</si>
  <si>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</si>
  <si>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</si>
  <si>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</si>
  <si>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</si>
  <si>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</si>
  <si>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</si>
  <si>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</si>
  <si>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</si>
  <si>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</si>
  <si>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</si>
  <si>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</si>
  <si>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</si>
  <si>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</si>
  <si>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</si>
  <si>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</si>
  <si>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</si>
  <si>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</si>
  <si>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</si>
  <si>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</si>
  <si>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</si>
  <si>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</si>
  <si>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</si>
  <si>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</si>
  <si>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</si>
  <si>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</si>
  <si>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</si>
  <si>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</si>
  <si>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</si>
  <si>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</si>
  <si>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</si>
  <si>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</si>
  <si>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</si>
  <si>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</si>
  <si>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</si>
  <si>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</si>
  <si>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</si>
  <si>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</si>
  <si>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</si>
  <si>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</si>
  <si>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</si>
  <si>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</si>
  <si>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</si>
  <si>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</si>
  <si>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</si>
  <si>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</si>
  <si>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</si>
  <si>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</si>
  <si>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</si>
  <si>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</si>
  <si>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</si>
  <si>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</si>
  <si>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</si>
  <si>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</si>
  <si>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</si>
  <si>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</si>
  <si>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</si>
  <si>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</si>
  <si>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</si>
  <si>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</si>
  <si>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</si>
  <si>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</si>
  <si>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</si>
  <si>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</si>
  <si>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</si>
  <si>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</si>
  <si>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</si>
  <si>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</si>
  <si>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</si>
  <si>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</si>
  <si>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</si>
  <si>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</si>
  <si>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</si>
  <si>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</si>
  <si>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</si>
  <si>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</si>
  <si>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</si>
  <si>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</si>
  <si>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</si>
  <si>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</si>
  <si>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</si>
  <si>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</si>
  <si>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</si>
  <si>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</si>
  <si>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</si>
  <si>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</si>
  <si>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</si>
  <si>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</si>
  <si>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</si>
  <si>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</si>
  <si>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</si>
  <si>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</si>
  <si>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</si>
  <si>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</si>
  <si>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</si>
  <si>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</si>
  <si>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</si>
  <si>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</si>
  <si>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</si>
  <si>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</si>
  <si>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</si>
  <si>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</si>
  <si>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</si>
  <si>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</si>
  <si>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</si>
  <si>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</si>
  <si>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</si>
  <si>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</si>
  <si>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</si>
  <si>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</si>
  <si>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</si>
  <si>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</si>
  <si>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</si>
  <si>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</si>
  <si>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</si>
  <si>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</si>
  <si>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</si>
  <si>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</si>
  <si>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</si>
  <si>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</si>
  <si>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</si>
  <si>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</si>
  <si>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</si>
  <si>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</si>
  <si>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</si>
  <si>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</si>
  <si>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</si>
  <si>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</si>
  <si>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</si>
  <si>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</si>
  <si>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</si>
  <si>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</si>
  <si>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</si>
  <si>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</si>
  <si>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</si>
  <si>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</si>
  <si>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</si>
  <si>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</si>
  <si>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</si>
  <si>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</si>
  <si>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</si>
  <si>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</si>
  <si>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</si>
  <si>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</si>
  <si>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</si>
  <si>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</si>
  <si>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</si>
  <si>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</si>
  <si>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</si>
  <si>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</si>
  <si>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</si>
  <si>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</si>
  <si>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</si>
  <si>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</si>
  <si>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</si>
  <si>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</si>
  <si>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</si>
  <si>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</si>
  <si>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</si>
  <si>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</si>
  <si>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</si>
  <si>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</si>
  <si>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</si>
  <si>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</si>
  <si>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</si>
  <si>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</si>
  <si>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</si>
  <si>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</si>
  <si>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</si>
  <si>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</si>
  <si>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</si>
  <si>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</si>
  <si>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</si>
  <si>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</si>
  <si>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</si>
  <si>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</si>
  <si>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</si>
  <si>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</si>
  <si>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</si>
  <si>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</si>
  <si>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</si>
  <si>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</si>
  <si>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</si>
  <si>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</si>
  <si>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</si>
  <si>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</si>
  <si>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</si>
  <si>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</si>
  <si>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</si>
  <si>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</si>
  <si>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</si>
  <si>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</si>
  <si>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</si>
  <si>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</si>
  <si>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</si>
  <si>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</si>
  <si>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</si>
  <si>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</si>
  <si>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</si>
  <si>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</si>
  <si>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</si>
  <si>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</si>
  <si>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</si>
  <si>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</si>
  <si>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</si>
  <si>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</si>
  <si>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</si>
  <si>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</si>
  <si>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</si>
  <si>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</si>
  <si>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</si>
  <si>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</si>
  <si>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</si>
  <si>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</si>
  <si>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</si>
  <si>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</si>
  <si>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</si>
  <si>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</si>
  <si>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</si>
  <si>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</si>
  <si>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</si>
  <si>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</si>
  <si>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</si>
  <si>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</si>
  <si>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</si>
  <si>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</si>
  <si>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</si>
  <si>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</si>
  <si>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</si>
  <si>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</si>
  <si>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</si>
  <si>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</si>
  <si>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</si>
  <si>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</si>
  <si>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</si>
  <si>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</si>
  <si>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</si>
  <si>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</si>
  <si>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</si>
  <si>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</si>
  <si>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</si>
  <si>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</si>
  <si>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</si>
  <si>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</si>
  <si>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</si>
  <si>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</si>
  <si>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</si>
  <si>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</si>
  <si>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</si>
  <si>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</si>
  <si>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</si>
  <si>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</si>
  <si>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</si>
  <si>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</si>
  <si>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</si>
  <si>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</si>
  <si>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</si>
  <si>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</si>
  <si>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</si>
  <si>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</si>
  <si>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</si>
  <si>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</si>
  <si>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</si>
  <si>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</si>
  <si>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</si>
  <si>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</si>
  <si>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</si>
  <si>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</si>
  <si>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</si>
  <si>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</si>
  <si>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</si>
  <si>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</si>
  <si>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</si>
  <si>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</si>
  <si>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</si>
  <si>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</si>
  <si>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</si>
  <si>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</si>
  <si>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</si>
  <si>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</si>
  <si>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</si>
  <si>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</si>
  <si>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</si>
  <si>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</si>
  <si>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</si>
  <si>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</si>
  <si>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</si>
  <si>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</si>
  <si>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</si>
  <si>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</si>
  <si>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</si>
  <si>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</si>
  <si>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</si>
  <si>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</si>
  <si>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</si>
  <si>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</si>
  <si>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</si>
  <si>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</si>
  <si>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</si>
  <si>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</si>
  <si>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</si>
  <si>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</si>
  <si>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</si>
  <si>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</si>
  <si>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</si>
  <si>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</si>
  <si>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</si>
  <si>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</si>
  <si>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</si>
  <si>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</si>
  <si>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</si>
  <si>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</si>
  <si>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</si>
  <si>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</si>
  <si>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</si>
  <si>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</si>
  <si>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</si>
  <si>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</si>
  <si>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</si>
  <si>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</si>
  <si>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</si>
  <si>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</si>
  <si>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</si>
  <si>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</si>
  <si>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</si>
  <si>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</si>
  <si>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</si>
  <si>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</si>
  <si>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</si>
  <si>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</si>
  <si>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</si>
  <si>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</si>
  <si>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</si>
  <si>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</si>
  <si>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</si>
  <si>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</si>
  <si>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</si>
  <si>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</si>
  <si>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</si>
  <si>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</si>
  <si>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</si>
  <si>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</si>
  <si>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</si>
  <si>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</si>
  <si>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</si>
  <si>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</si>
  <si>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</si>
  <si>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</si>
  <si>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</si>
  <si>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</si>
  <si>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</si>
  <si>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</si>
  <si>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</si>
  <si>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</si>
  <si>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</si>
  <si>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</si>
  <si>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</si>
  <si>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</si>
  <si>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</si>
  <si>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</si>
  <si>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</si>
  <si>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</si>
  <si>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</si>
  <si>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</si>
  <si>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</si>
  <si>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</si>
  <si>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</si>
  <si>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</si>
  <si>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</si>
  <si>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</si>
  <si>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</si>
  <si>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</si>
  <si>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</si>
  <si>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</si>
  <si>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</si>
  <si>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</si>
  <si>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</si>
  <si>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</si>
  <si>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</si>
  <si>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</si>
  <si>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</si>
  <si>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</si>
  <si>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</si>
  <si>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</si>
  <si>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</si>
  <si>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</si>
  <si>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</si>
  <si>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</si>
  <si>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</si>
  <si>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</si>
  <si>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</si>
  <si>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</si>
  <si>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</si>
  <si>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</si>
  <si>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</si>
  <si>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</si>
  <si>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</si>
  <si>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</si>
  <si>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</si>
  <si>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</si>
  <si>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</si>
  <si>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</si>
  <si>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</si>
  <si>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</si>
  <si>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</si>
  <si>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</si>
  <si>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</si>
  <si>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</si>
  <si>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</si>
  <si>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</si>
  <si>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</si>
  <si>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</si>
  <si>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</si>
  <si>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</si>
  <si>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</si>
  <si>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</si>
  <si>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</si>
  <si>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</si>
  <si>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</si>
  <si>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</si>
  <si>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</si>
  <si>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</si>
  <si>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</si>
  <si>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</si>
  <si>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</si>
  <si>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</si>
  <si>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</si>
  <si>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</si>
  <si>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</si>
  <si>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</si>
  <si>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</si>
  <si>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</si>
  <si>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</si>
  <si>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</si>
  <si>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</si>
  <si>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</si>
  <si>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</si>
  <si>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</si>
  <si>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</si>
  <si>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</si>
  <si>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</si>
  <si>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</si>
  <si>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</si>
  <si>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</si>
  <si>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</si>
  <si>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</si>
  <si>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</si>
  <si>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</si>
  <si>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</si>
  <si>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</si>
  <si>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</si>
  <si>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</si>
  <si>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</si>
  <si>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</si>
  <si>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</si>
  <si>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</si>
  <si>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</si>
  <si>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</si>
  <si>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</si>
  <si>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</si>
  <si>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</si>
  <si>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</si>
  <si>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</si>
  <si>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</si>
  <si>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</si>
  <si>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</si>
  <si>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</si>
  <si>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</si>
  <si>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</si>
  <si>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</si>
  <si>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</si>
  <si>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</si>
  <si>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</si>
  <si>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</si>
  <si>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</si>
  <si>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</si>
  <si>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</si>
  <si>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</si>
  <si>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</si>
  <si>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</si>
  <si>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</si>
  <si>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</si>
  <si>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</si>
  <si>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</si>
  <si>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</si>
  <si>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</si>
  <si>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</si>
  <si>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</si>
  <si>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</si>
  <si>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</si>
  <si>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</si>
  <si>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</si>
  <si>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</si>
  <si>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</si>
  <si>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</si>
  <si>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</si>
  <si>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</si>
  <si>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</si>
  <si>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</si>
  <si>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</si>
  <si>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</si>
  <si>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</si>
  <si>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</si>
  <si>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</si>
  <si>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</si>
  <si>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</si>
  <si>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</si>
  <si>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</si>
  <si>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</si>
  <si>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</si>
  <si>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</si>
  <si>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</si>
  <si>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</si>
  <si>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</si>
  <si>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</si>
  <si>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</si>
  <si>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</si>
  <si>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</si>
  <si>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</si>
  <si>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</si>
  <si>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</si>
  <si>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</si>
  <si>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</si>
  <si>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</si>
  <si>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</si>
  <si>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</si>
  <si>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</si>
  <si>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</si>
  <si>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</si>
  <si>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</si>
  <si>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</si>
  <si>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</si>
  <si>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</si>
  <si>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</si>
  <si>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</si>
  <si>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</si>
  <si>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</si>
  <si>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</si>
  <si>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</si>
  <si>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</si>
  <si>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</si>
  <si>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</si>
  <si>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</si>
  <si>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</si>
  <si>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</si>
  <si>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</si>
  <si>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</si>
  <si>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</si>
  <si>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</si>
  <si>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</si>
  <si>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</si>
  <si>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</si>
  <si>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</si>
  <si>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</si>
  <si>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</si>
  <si>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</si>
  <si>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</si>
  <si>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</si>
  <si>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</si>
  <si>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</si>
  <si>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</si>
  <si>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</si>
  <si>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</si>
  <si>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</si>
  <si>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</si>
  <si>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</si>
  <si>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</si>
  <si>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</si>
  <si>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</si>
  <si>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</si>
  <si>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</si>
  <si>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</si>
  <si>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</si>
  <si>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</si>
  <si>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</si>
  <si>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</si>
  <si>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</si>
  <si>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</si>
  <si>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</si>
  <si>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</si>
  <si>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</si>
  <si>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</si>
  <si>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</si>
  <si>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</si>
  <si>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</si>
  <si>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</si>
  <si>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</si>
  <si>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</si>
  <si>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</si>
  <si>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</si>
  <si>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</si>
  <si>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</si>
  <si>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</si>
  <si>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</si>
  <si>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</si>
  <si>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</si>
  <si>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</si>
  <si>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</si>
  <si>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</si>
  <si>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</si>
  <si>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</si>
  <si>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</si>
  <si>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</si>
  <si>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</si>
  <si>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</si>
  <si>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</si>
  <si>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</si>
  <si>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</si>
  <si>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</si>
  <si>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</si>
  <si>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</si>
  <si>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</si>
  <si>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</si>
  <si>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</si>
  <si>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</si>
  <si>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</si>
  <si>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</si>
  <si>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</si>
  <si>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</si>
  <si>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</si>
  <si>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</si>
  <si>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</si>
  <si>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</si>
  <si>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</si>
  <si>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</si>
  <si>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</si>
  <si>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</si>
  <si>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</si>
  <si>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</si>
  <si>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</si>
  <si>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</si>
  <si>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</si>
  <si>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</si>
  <si>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</si>
  <si>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</si>
  <si>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</si>
  <si>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</si>
  <si>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</si>
  <si>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</si>
  <si>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</si>
  <si>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</si>
  <si>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</si>
  <si>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</si>
  <si>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</si>
  <si>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</si>
  <si>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</si>
  <si>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</si>
  <si>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</si>
  <si>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</si>
  <si>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</si>
  <si>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</si>
  <si>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</si>
  <si>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</si>
  <si>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</si>
  <si>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</si>
  <si>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</si>
  <si>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</si>
  <si>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</si>
  <si>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</si>
  <si>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</si>
  <si>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</si>
  <si>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</si>
  <si>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</si>
  <si>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</si>
  <si>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</si>
  <si>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</si>
  <si>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</si>
  <si>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</si>
  <si>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</si>
  <si>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</si>
  <si>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</si>
  <si>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</si>
  <si>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</si>
  <si>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</si>
  <si>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</si>
  <si>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</si>
  <si>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</si>
  <si>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</si>
  <si>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</si>
  <si>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</si>
  <si>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</si>
  <si>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</si>
  <si>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</si>
  <si>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</si>
  <si>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</si>
  <si>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</si>
  <si>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</si>
  <si>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</si>
  <si>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</si>
  <si>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</si>
  <si>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</si>
  <si>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</si>
  <si>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</si>
  <si>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</si>
  <si>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</si>
  <si>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</si>
  <si>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</si>
  <si>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</si>
  <si>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</si>
  <si>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</si>
  <si>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</si>
  <si>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</si>
  <si>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</si>
  <si>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</si>
  <si>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</si>
  <si>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</si>
  <si>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</si>
  <si>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</si>
  <si>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</si>
  <si>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</si>
  <si>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</si>
  <si>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</si>
  <si>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</si>
  <si>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</si>
  <si>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</si>
  <si>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</si>
  <si>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</si>
  <si>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</si>
  <si>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</si>
  <si>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</si>
  <si>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</si>
  <si>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</si>
  <si>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</si>
  <si>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</si>
  <si>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</si>
  <si>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</si>
  <si>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</si>
  <si>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</si>
  <si>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</si>
  <si>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</si>
  <si>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</si>
  <si>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</si>
  <si>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</si>
  <si>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</si>
  <si>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</si>
  <si>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</si>
  <si>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</si>
  <si>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</si>
  <si>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</si>
  <si>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</si>
  <si>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</si>
  <si>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</si>
  <si>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</si>
  <si>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</si>
  <si>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</si>
  <si>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</si>
  <si>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</si>
  <si>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</si>
  <si>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</si>
  <si>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</si>
  <si>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</si>
  <si>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</si>
  <si>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</si>
  <si>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</si>
  <si>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</si>
  <si>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</si>
  <si>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</si>
  <si>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</si>
  <si>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</si>
  <si>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</si>
  <si>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</si>
  <si>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</si>
  <si>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</si>
  <si>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</si>
  <si>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</si>
  <si>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</si>
  <si>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</si>
  <si>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</si>
  <si>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</si>
  <si>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</si>
  <si>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</si>
  <si>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</si>
  <si>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</si>
  <si>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</si>
  <si>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</si>
  <si>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</si>
  <si>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</si>
  <si>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</si>
  <si>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</si>
  <si>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</si>
  <si>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</si>
  <si>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</si>
  <si>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</si>
  <si>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</si>
  <si>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</si>
  <si>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</si>
  <si>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</si>
  <si>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</si>
  <si>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</si>
  <si>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</si>
  <si>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</si>
  <si>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</si>
  <si>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</si>
  <si>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</si>
  <si>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</si>
  <si>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</si>
  <si>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</si>
  <si>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</si>
  <si>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</si>
  <si>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</si>
  <si>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</si>
  <si>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</si>
  <si>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</si>
  <si>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</si>
  <si>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</si>
  <si>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</si>
  <si>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</si>
  <si>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</si>
  <si>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</si>
  <si>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</si>
  <si>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</si>
  <si>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</si>
  <si>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</si>
  <si>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</si>
  <si>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</si>
  <si>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</si>
  <si>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</si>
  <si>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</si>
  <si>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</si>
  <si>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</si>
  <si>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</si>
  <si>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</si>
  <si>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</si>
  <si>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</si>
  <si>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</si>
  <si>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</si>
  <si>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</si>
  <si>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</si>
  <si>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</si>
  <si>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</si>
  <si>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</si>
  <si>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</si>
  <si>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</si>
  <si>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</si>
  <si>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</si>
  <si>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</si>
  <si>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</si>
  <si>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</si>
  <si>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</si>
  <si>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</si>
  <si>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</si>
  <si>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</si>
  <si>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</si>
  <si>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</si>
  <si>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</si>
  <si>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</si>
  <si>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</si>
  <si>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</si>
  <si>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</si>
  <si>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</si>
  <si>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</si>
  <si>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</si>
  <si>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</si>
  <si>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</si>
  <si>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</si>
  <si>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</si>
  <si>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</si>
  <si>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</si>
  <si>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</si>
  <si>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</si>
  <si>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</si>
  <si>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</si>
  <si>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</si>
  <si>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</si>
  <si>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</si>
  <si>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</si>
  <si>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</si>
  <si>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</si>
  <si>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</si>
  <si>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</si>
  <si>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</si>
  <si>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</si>
  <si>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</si>
  <si>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</si>
  <si>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</si>
  <si>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</si>
  <si>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</si>
  <si>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</si>
  <si>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</si>
  <si>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</si>
  <si>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</si>
  <si>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</si>
  <si>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</si>
  <si>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</si>
  <si>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</si>
  <si>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</si>
  <si>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</si>
  <si>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</si>
  <si>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</si>
  <si>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</si>
  <si>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</si>
  <si>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</si>
  <si>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</si>
  <si>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</si>
  <si>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</si>
  <si>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</si>
  <si>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</si>
  <si>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</si>
  <si>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</si>
  <si>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</si>
  <si>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</si>
  <si>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</si>
  <si>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</si>
  <si>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</si>
  <si>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</si>
  <si>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</si>
  <si>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</si>
  <si>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</si>
  <si>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</si>
  <si>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</si>
  <si>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</si>
  <si>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</si>
  <si>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</si>
  <si>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</si>
  <si>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</si>
  <si>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</si>
  <si>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</si>
  <si>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</si>
  <si>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</si>
  <si>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</si>
  <si>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</si>
  <si>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</si>
  <si>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</si>
  <si>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</si>
  <si>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</si>
  <si>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</si>
  <si>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</si>
  <si>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</si>
  <si>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</si>
  <si>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</si>
  <si>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</si>
  <si>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</si>
  <si>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</si>
  <si>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</si>
  <si>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</si>
  <si>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</si>
  <si>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</si>
  <si>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</si>
  <si>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</si>
  <si>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</si>
  <si>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</si>
  <si>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</si>
  <si>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</si>
  <si>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</si>
  <si>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</si>
  <si>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</si>
  <si>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</si>
  <si>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</si>
  <si>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</si>
  <si>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</si>
  <si>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</si>
  <si>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</si>
  <si>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</si>
  <si>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</si>
  <si>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</si>
  <si>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</si>
  <si>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</si>
  <si>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</si>
  <si>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</si>
  <si>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</si>
  <si>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</si>
  <si>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</si>
  <si>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</si>
  <si>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</si>
  <si>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</si>
  <si>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</si>
  <si>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</si>
  <si>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</si>
  <si>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</si>
  <si>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</si>
  <si>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</si>
  <si>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</si>
  <si>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</si>
  <si>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</si>
  <si>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</si>
  <si>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</si>
  <si>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</si>
  <si>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</si>
  <si>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</si>
  <si>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</si>
  <si>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</si>
  <si>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</si>
  <si>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</si>
  <si>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</si>
  <si>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</si>
  <si>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</si>
  <si>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</si>
  <si>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</si>
  <si>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</si>
  <si>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</si>
  <si>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</si>
  <si>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</si>
  <si>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</si>
  <si>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</si>
  <si>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</si>
  <si>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</si>
  <si>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</si>
  <si>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</si>
  <si>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</si>
  <si>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</si>
  <si>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</si>
  <si>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</si>
  <si>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</si>
  <si>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</si>
  <si>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</si>
  <si>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</si>
  <si>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</si>
  <si>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</si>
  <si>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</si>
  <si>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</si>
  <si>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</si>
  <si>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</si>
  <si>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</si>
  <si>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</si>
  <si>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</si>
  <si>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</si>
  <si>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</si>
  <si>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</si>
  <si>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</si>
  <si>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</si>
  <si>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</si>
  <si>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</si>
  <si>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</si>
  <si>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</si>
  <si>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</si>
  <si>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</si>
  <si>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</si>
  <si>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</si>
  <si>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</si>
  <si>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</si>
  <si>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</si>
  <si>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</si>
  <si>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</si>
  <si>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</si>
  <si>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</si>
  <si>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</si>
  <si>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</si>
  <si>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</si>
  <si>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</si>
  <si>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</si>
  <si>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</si>
  <si>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</si>
  <si>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</si>
  <si>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</si>
  <si>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</si>
  <si>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</si>
  <si>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</si>
  <si>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</si>
  <si>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</si>
  <si>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</si>
  <si>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</si>
  <si>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</si>
  <si>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</si>
  <si>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</si>
  <si>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</si>
  <si>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</si>
  <si>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</si>
  <si>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</si>
  <si>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</si>
  <si>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</si>
  <si>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</si>
  <si>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</si>
  <si>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</si>
  <si>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</si>
  <si>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</si>
  <si>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</si>
  <si>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</si>
  <si>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</si>
  <si>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</si>
  <si>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</si>
  <si>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</si>
  <si>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</si>
  <si>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</si>
  <si>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</si>
  <si>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</si>
  <si>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</si>
  <si>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</si>
  <si>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</si>
  <si>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</si>
  <si>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</si>
  <si>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</si>
  <si>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</si>
  <si>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</si>
  <si>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</si>
  <si>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</si>
  <si>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</si>
  <si>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</si>
  <si>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</si>
  <si>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</si>
  <si>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</si>
  <si>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</si>
  <si>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</si>
  <si>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</si>
  <si>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</si>
  <si>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</si>
  <si>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</si>
  <si>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</si>
  <si>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</si>
  <si>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</si>
  <si>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</si>
  <si>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</si>
  <si>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</si>
  <si>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</si>
  <si>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</si>
  <si>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</si>
  <si>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</si>
  <si>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</si>
  <si>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</si>
  <si>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</si>
  <si>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</si>
  <si>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</si>
  <si>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</si>
  <si>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</si>
  <si>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</si>
  <si>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</si>
  <si>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</si>
  <si>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</si>
  <si>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</si>
  <si>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</si>
  <si>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</si>
  <si>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</si>
  <si>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</si>
  <si>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</si>
  <si>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</si>
  <si>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</si>
  <si>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</si>
  <si>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</si>
  <si>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</si>
  <si>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</si>
  <si>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</si>
  <si>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</si>
  <si>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</si>
  <si>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</si>
  <si>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</si>
  <si>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</si>
  <si>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</si>
  <si>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</si>
  <si>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</si>
  <si>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</si>
  <si>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</si>
  <si>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</si>
  <si>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</si>
  <si>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</si>
  <si>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</si>
  <si>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</si>
  <si>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</si>
  <si>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</si>
  <si>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</si>
  <si>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</si>
  <si>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</si>
  <si>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</si>
  <si>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</si>
  <si>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</si>
  <si>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</si>
  <si>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</si>
  <si>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</si>
  <si>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</si>
  <si>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</si>
  <si>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</si>
  <si>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</si>
  <si>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</si>
  <si>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</si>
  <si>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</si>
  <si>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</si>
  <si>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</si>
  <si>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</si>
  <si>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</si>
  <si>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</si>
  <si>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</si>
  <si>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</si>
  <si>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</si>
  <si>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</si>
  <si>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</si>
  <si>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</si>
  <si>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</si>
  <si>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</si>
  <si>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</si>
  <si>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</si>
  <si>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</si>
  <si>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</si>
  <si>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</si>
  <si>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</si>
  <si>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</si>
  <si>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</si>
  <si>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</si>
  <si>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</si>
  <si>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</si>
  <si>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</si>
  <si>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</si>
  <si>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</si>
  <si>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</si>
  <si>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</si>
  <si>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</si>
  <si>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</si>
  <si>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</si>
  <si>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</si>
  <si>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</si>
  <si>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</si>
  <si>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</si>
  <si>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</si>
  <si>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</si>
  <si>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</si>
  <si>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</si>
  <si>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</si>
  <si>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</si>
  <si>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</si>
  <si>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</si>
  <si>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</si>
  <si>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</si>
  <si>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</si>
  <si>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</si>
  <si>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</si>
  <si>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</si>
  <si>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</si>
  <si>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</si>
  <si>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</si>
  <si>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</si>
  <si>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</si>
  <si>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</si>
  <si>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</si>
  <si>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</si>
  <si>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</si>
  <si>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</si>
  <si>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</si>
  <si>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</si>
  <si>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</si>
  <si>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</si>
  <si>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</si>
  <si>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</si>
  <si>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</si>
  <si>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</si>
  <si>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</si>
  <si>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</si>
  <si>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</si>
  <si>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</si>
  <si>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</si>
  <si>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</si>
  <si>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</si>
  <si>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</si>
  <si>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</si>
  <si>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</si>
  <si>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</si>
  <si>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</si>
  <si>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</si>
  <si>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</si>
  <si>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</si>
  <si>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</si>
  <si>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</si>
  <si>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</si>
  <si>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</si>
  <si>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</si>
  <si>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</si>
  <si>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</si>
  <si>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</si>
  <si>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</si>
  <si>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</si>
  <si>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</si>
  <si>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</si>
  <si>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</si>
  <si>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</si>
  <si>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</si>
  <si>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</si>
  <si>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</si>
  <si>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</si>
  <si>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</si>
  <si>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</si>
  <si>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</si>
  <si>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</si>
  <si>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</si>
  <si>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</si>
  <si>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</si>
  <si>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</si>
  <si>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</si>
  <si>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</si>
  <si>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</si>
  <si>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</si>
  <si>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</si>
  <si>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</si>
  <si>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</si>
  <si>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</si>
  <si>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</si>
  <si>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</si>
  <si>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</si>
  <si>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</si>
  <si>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</si>
  <si>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</si>
  <si>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</si>
  <si>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</si>
  <si>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</si>
  <si>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</si>
  <si>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</si>
  <si>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</si>
  <si>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</si>
  <si>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</si>
  <si>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</si>
  <si>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</si>
  <si>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</si>
  <si>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</si>
  <si>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</si>
  <si>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</si>
  <si>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</si>
  <si>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</si>
  <si>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</si>
  <si>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</si>
  <si>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</si>
  <si>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</si>
  <si>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</si>
  <si>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</si>
  <si>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</si>
  <si>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</si>
  <si>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</si>
  <si>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</si>
  <si>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</si>
  <si>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</si>
  <si>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</si>
  <si>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</si>
  <si>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</si>
  <si>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</si>
  <si>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</si>
  <si>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</si>
  <si>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</si>
  <si>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</si>
  <si>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</si>
  <si>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</si>
  <si>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</si>
  <si>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</si>
  <si>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</si>
  <si>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</si>
  <si>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</si>
  <si>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</si>
  <si>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</si>
  <si>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</si>
  <si>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</si>
  <si>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</si>
  <si>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</si>
  <si>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</si>
  <si>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</si>
  <si>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</si>
  <si>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</si>
  <si>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</si>
  <si>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</si>
  <si>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</si>
  <si>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</si>
  <si>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</si>
  <si>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</si>
  <si>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</si>
  <si>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</si>
  <si>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</si>
  <si>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</si>
  <si>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</si>
  <si>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</si>
  <si>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</si>
  <si>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</si>
  <si>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</si>
  <si>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</si>
  <si>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</si>
  <si>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</si>
  <si>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</si>
  <si>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</si>
  <si>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</si>
  <si>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</si>
  <si>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</si>
  <si>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</si>
  <si>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</si>
  <si>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</si>
  <si>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</si>
  <si>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</si>
  <si>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</si>
  <si>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</si>
  <si>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</si>
  <si>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</si>
  <si>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</si>
  <si>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</si>
  <si>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</si>
  <si>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</si>
  <si>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</si>
  <si>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</si>
  <si>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</si>
  <si>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</si>
  <si>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</si>
  <si>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</si>
  <si>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</si>
  <si>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</si>
  <si>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</si>
  <si>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</si>
  <si>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</si>
  <si>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</si>
  <si>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</si>
  <si>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</si>
  <si>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</si>
  <si>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</si>
  <si>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</si>
  <si>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</si>
  <si>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</si>
  <si>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</si>
  <si>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</si>
  <si>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</si>
  <si>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</si>
  <si>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</si>
  <si>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</si>
  <si>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</si>
  <si>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</si>
  <si>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</si>
  <si>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</si>
  <si>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</si>
  <si>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</si>
  <si>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</si>
  <si>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</si>
  <si>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</si>
  <si>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</si>
  <si>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</si>
  <si>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</si>
  <si>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</si>
  <si>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</si>
  <si>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</si>
  <si>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</si>
  <si>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</si>
  <si>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</si>
  <si>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</si>
  <si>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</si>
  <si>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</si>
  <si>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</si>
  <si>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</si>
  <si>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</si>
  <si>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</si>
  <si>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</si>
  <si>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</si>
  <si>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</si>
  <si>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</si>
  <si>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</si>
  <si>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</si>
  <si>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</si>
  <si>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</si>
  <si>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</si>
  <si>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</si>
  <si>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</si>
  <si>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</si>
  <si>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</si>
  <si>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</si>
  <si>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</si>
  <si>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</si>
  <si>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</si>
  <si>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</si>
  <si>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</si>
  <si>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</si>
  <si>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</si>
  <si>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</si>
  <si>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</si>
  <si>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</si>
  <si>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</si>
  <si>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</si>
  <si>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</si>
  <si>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</si>
  <si>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</si>
  <si>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</si>
  <si>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</si>
  <si>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</si>
  <si>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</si>
  <si>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</si>
  <si>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</si>
  <si>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</si>
  <si>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</si>
  <si>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</si>
  <si>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</si>
  <si>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</si>
  <si>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</si>
  <si>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</si>
  <si>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</si>
  <si>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</si>
  <si>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</si>
  <si>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</si>
  <si>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</si>
  <si>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</si>
  <si>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</si>
  <si>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</si>
  <si>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</si>
  <si>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</si>
  <si>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</si>
  <si>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</si>
  <si>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</si>
  <si>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</si>
  <si>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</si>
  <si>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</si>
  <si>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</si>
  <si>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</si>
  <si>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</si>
  <si>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</si>
  <si>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</si>
  <si>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</si>
  <si>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</si>
  <si>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</si>
  <si>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</si>
  <si>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</si>
  <si>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</si>
  <si>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</si>
  <si>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</si>
  <si>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</si>
  <si>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</si>
  <si>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</si>
  <si>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</si>
  <si>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</si>
  <si>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</si>
  <si>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</si>
  <si>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</si>
  <si>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</si>
  <si>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</si>
  <si>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</si>
  <si>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</si>
  <si>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</si>
  <si>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</si>
  <si>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</si>
  <si>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</si>
  <si>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</si>
  <si>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</si>
  <si>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</si>
  <si>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</si>
  <si>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</si>
  <si>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</si>
  <si>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</si>
  <si>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</si>
  <si>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</si>
  <si>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</si>
  <si>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</si>
  <si>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</si>
  <si>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</si>
  <si>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</si>
  <si>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</si>
  <si>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</si>
  <si>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</si>
  <si>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</si>
  <si>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</si>
  <si>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</si>
  <si>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</si>
  <si>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</si>
  <si>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</si>
  <si>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</si>
  <si>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</si>
  <si>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</si>
  <si>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</si>
  <si>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</si>
  <si>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</si>
  <si>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</si>
  <si>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</si>
  <si>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</si>
  <si>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</si>
  <si>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</si>
  <si>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</si>
  <si>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</si>
  <si>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</si>
  <si>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</si>
  <si>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</si>
  <si>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</si>
  <si>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</si>
  <si>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</si>
  <si>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</si>
  <si>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</si>
  <si>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</si>
  <si>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</si>
  <si>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</si>
  <si>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</si>
  <si>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</si>
  <si>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</si>
  <si>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</si>
  <si>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</si>
  <si>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</si>
  <si>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</si>
  <si>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</si>
  <si>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</si>
  <si>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</si>
  <si>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</si>
  <si>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</si>
  <si>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</si>
  <si>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</si>
  <si>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</si>
  <si>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</si>
  <si>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</si>
  <si>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</si>
  <si>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</si>
  <si>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</si>
  <si>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</si>
  <si>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</si>
  <si>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</si>
  <si>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</si>
  <si>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</si>
  <si>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</si>
  <si>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</si>
  <si>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</si>
  <si>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</si>
  <si>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</si>
  <si>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</si>
  <si>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</si>
  <si>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</si>
  <si>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</si>
  <si>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</si>
  <si>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</si>
  <si>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</si>
  <si>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</si>
  <si>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</si>
  <si>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</si>
  <si>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</si>
  <si>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</si>
  <si>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</si>
  <si>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</si>
  <si>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</si>
  <si>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</si>
  <si>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</si>
  <si>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</si>
  <si>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</si>
  <si>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</si>
  <si>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</si>
  <si>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</si>
  <si>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</si>
  <si>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</si>
  <si>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</si>
  <si>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</si>
  <si>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</si>
  <si>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</si>
  <si>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</si>
  <si>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</si>
  <si>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</si>
  <si>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</si>
  <si>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</si>
  <si>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</si>
  <si>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</si>
  <si>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</si>
  <si>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</si>
  <si>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</si>
  <si>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</si>
  <si>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</si>
  <si>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</si>
  <si>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</si>
  <si>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</si>
  <si>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</si>
  <si>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</si>
  <si>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</si>
  <si>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</si>
  <si>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</si>
  <si>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</si>
  <si>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</si>
  <si>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</si>
  <si>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</si>
  <si>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</si>
  <si>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</si>
  <si>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</si>
  <si>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</si>
  <si>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</si>
  <si>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</si>
  <si>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</si>
  <si>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</si>
  <si>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</si>
  <si>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</si>
  <si>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</si>
  <si>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</si>
  <si>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</si>
  <si>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</si>
  <si>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</si>
  <si>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</si>
  <si>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</si>
  <si>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</si>
  <si>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</si>
  <si>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</si>
  <si>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</si>
  <si>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</si>
  <si>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</si>
  <si>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</si>
  <si>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</si>
  <si>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</si>
  <si>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</si>
  <si>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</si>
  <si>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</si>
  <si>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</si>
  <si>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</si>
  <si>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</si>
  <si>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</si>
  <si>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</si>
  <si>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</si>
  <si>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</si>
  <si>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</si>
  <si>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</si>
  <si>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</si>
  <si>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</si>
  <si>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</si>
  <si>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</si>
  <si>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</si>
  <si>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</si>
  <si>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</si>
  <si>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</si>
  <si>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</si>
  <si>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</si>
  <si>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</si>
  <si>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</si>
  <si>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</si>
  <si>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</si>
  <si>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</si>
  <si>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</si>
  <si>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</si>
  <si>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</si>
  <si>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</si>
  <si>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</si>
  <si>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</si>
  <si>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</si>
  <si>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</si>
  <si>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</si>
  <si>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</si>
  <si>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</si>
  <si>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</si>
  <si>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</si>
  <si>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</si>
  <si>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</si>
  <si>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</si>
  <si>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</si>
  <si>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</si>
  <si>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</si>
  <si>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</si>
  <si>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</si>
  <si>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</si>
  <si>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</si>
  <si>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</si>
  <si>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</si>
  <si>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</si>
  <si>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</si>
  <si>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</si>
  <si>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</si>
  <si>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</si>
  <si>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</si>
  <si>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</si>
  <si>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</si>
  <si>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</si>
  <si>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</si>
  <si>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</si>
  <si>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</si>
  <si>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</si>
  <si>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</si>
  <si>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</si>
  <si>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</si>
  <si>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</si>
  <si>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</si>
  <si>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</si>
  <si>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</si>
  <si>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</si>
  <si>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</si>
  <si>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</si>
  <si>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</si>
  <si>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</si>
  <si>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</si>
  <si>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</si>
  <si>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</si>
  <si>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</si>
  <si>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</si>
  <si>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</si>
  <si>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</si>
  <si>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</si>
  <si>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</si>
  <si>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</si>
  <si>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</si>
  <si>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</si>
  <si>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</si>
  <si>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</si>
  <si>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</si>
  <si>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</si>
  <si>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</si>
  <si>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</si>
  <si>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</si>
  <si>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</si>
  <si>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</si>
  <si>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</si>
  <si>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</si>
  <si>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</si>
  <si>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</si>
  <si>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</si>
  <si>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</si>
  <si>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</si>
  <si>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</si>
  <si>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</si>
  <si>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</si>
  <si>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</si>
  <si>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</si>
  <si>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</si>
  <si>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</si>
  <si>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</si>
  <si>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</si>
  <si>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</si>
  <si>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</si>
  <si>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</si>
  <si>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</si>
  <si>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</si>
  <si>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</si>
  <si>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</si>
  <si>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</si>
  <si>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</si>
  <si>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</si>
  <si>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</si>
  <si>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</si>
  <si>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</si>
  <si>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</si>
  <si>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</si>
  <si>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</si>
  <si>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</si>
  <si>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</si>
  <si>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</si>
  <si>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</si>
  <si>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</si>
  <si>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</si>
  <si>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</si>
  <si>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</si>
  <si>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</si>
  <si>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</si>
  <si>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</si>
  <si>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</si>
  <si>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</si>
  <si>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</si>
  <si>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</si>
  <si>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</si>
  <si>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</si>
  <si>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</si>
  <si>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</si>
  <si>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</si>
  <si>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</si>
  <si>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</si>
  <si>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</si>
  <si>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</si>
  <si>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</si>
  <si>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</si>
  <si>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</si>
  <si>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</si>
  <si>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</si>
  <si>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</si>
  <si>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</si>
  <si>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</si>
  <si>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</si>
  <si>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</si>
  <si>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</si>
  <si>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</si>
  <si>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</si>
  <si>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</si>
  <si>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</si>
  <si>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</si>
  <si>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</si>
  <si>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</si>
  <si>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</si>
  <si>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</si>
  <si>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</si>
  <si>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</si>
  <si>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</si>
  <si>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</si>
  <si>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</si>
  <si>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</si>
  <si>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</si>
  <si>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</si>
  <si>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</si>
  <si>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</si>
  <si>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</si>
  <si>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</si>
  <si>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</si>
  <si>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</si>
  <si>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</si>
  <si>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</si>
  <si>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</si>
  <si>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</si>
  <si>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</si>
  <si>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</si>
  <si>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</si>
  <si>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</si>
  <si>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</si>
  <si>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</si>
  <si>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</si>
  <si>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</si>
  <si>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</si>
  <si>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</si>
  <si>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</si>
  <si>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</si>
  <si>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</si>
  <si>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</si>
  <si>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</si>
  <si>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</si>
  <si>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</si>
  <si>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</si>
  <si>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</si>
  <si>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</si>
  <si>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</si>
  <si>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</si>
  <si>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</si>
  <si>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</si>
  <si>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</si>
  <si>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</si>
  <si>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</si>
  <si>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</si>
  <si>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</si>
  <si>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</si>
  <si>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</si>
  <si>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</si>
  <si>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</si>
  <si>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</si>
  <si>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</si>
  <si>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</si>
  <si>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</si>
  <si>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</si>
  <si>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</si>
  <si>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</si>
  <si>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</si>
  <si>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</si>
  <si>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</si>
  <si>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</si>
  <si>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</si>
  <si>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</si>
  <si>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</si>
  <si>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</si>
  <si>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</si>
  <si>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</si>
  <si>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</si>
  <si>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</si>
  <si>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</si>
  <si>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</si>
  <si>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</si>
  <si>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</si>
  <si>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</si>
  <si>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</si>
  <si>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</si>
  <si>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</si>
  <si>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</si>
  <si>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</si>
  <si>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</si>
  <si>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</si>
  <si>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</si>
  <si>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</si>
  <si>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</si>
  <si>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</si>
  <si>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</si>
  <si>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</si>
  <si>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</si>
  <si>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</si>
  <si>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</si>
  <si>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</si>
  <si>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</si>
  <si>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</si>
  <si>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</si>
  <si>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</si>
  <si>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</si>
  <si>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</si>
  <si>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</si>
  <si>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</si>
  <si>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</si>
  <si>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</si>
  <si>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</si>
  <si>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</si>
  <si>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</si>
  <si>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</si>
  <si>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</si>
  <si>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</si>
  <si>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</si>
  <si>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</si>
  <si>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</si>
  <si>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</si>
  <si>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</si>
  <si>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</si>
  <si>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</si>
  <si>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</si>
  <si>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</si>
  <si>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</si>
  <si>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</si>
  <si>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</si>
  <si>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</si>
  <si>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</si>
  <si>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</si>
  <si>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</si>
  <si>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</si>
  <si>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</si>
  <si>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</si>
  <si>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</si>
  <si>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</si>
  <si>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</si>
  <si>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</si>
  <si>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</si>
  <si>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</si>
  <si>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</si>
  <si>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</si>
  <si>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</si>
  <si>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</si>
  <si>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</si>
  <si>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</si>
  <si>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</si>
  <si>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</si>
  <si>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</si>
  <si>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</si>
  <si>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</si>
  <si>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</si>
  <si>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</si>
  <si>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</si>
  <si>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</si>
  <si>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</si>
  <si>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</si>
  <si>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</si>
  <si>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</si>
  <si>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</si>
  <si>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</si>
  <si>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</si>
  <si>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</si>
  <si>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</si>
  <si>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</si>
  <si>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</si>
  <si>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</si>
  <si>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</si>
  <si>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</si>
  <si>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</si>
  <si>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</si>
  <si>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</si>
  <si>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</si>
  <si>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</si>
  <si>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</si>
  <si>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</si>
  <si>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</si>
  <si>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</si>
  <si>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</si>
  <si>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</si>
  <si>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</si>
  <si>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</si>
  <si>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</si>
  <si>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</si>
  <si>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</si>
  <si>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</si>
  <si>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</si>
  <si>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</si>
  <si>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</si>
  <si>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</si>
  <si>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</si>
  <si>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</si>
  <si>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</si>
  <si>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</si>
  <si>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</si>
  <si>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</si>
  <si>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</si>
  <si>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</si>
  <si>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</si>
  <si>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</si>
  <si>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</si>
  <si>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</si>
  <si>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</si>
  <si>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</si>
  <si>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</si>
  <si>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</si>
  <si>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</si>
  <si>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</si>
  <si>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</si>
  <si>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</si>
  <si>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</si>
  <si>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</si>
  <si>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</si>
  <si>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</si>
  <si>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</si>
  <si>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</si>
  <si>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</si>
  <si>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</si>
  <si>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</si>
  <si>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</si>
  <si>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</si>
  <si>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</si>
  <si>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</si>
  <si>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</si>
  <si>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</si>
  <si>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</si>
  <si>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</si>
  <si>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</si>
  <si>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</si>
  <si>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</si>
  <si>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</si>
  <si>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</si>
  <si>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</si>
  <si>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</si>
  <si>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</si>
  <si>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</si>
  <si>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</si>
  <si>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</si>
  <si>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</si>
  <si>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</si>
  <si>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</si>
  <si>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</si>
  <si>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</si>
  <si>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</si>
  <si>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</si>
  <si>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</si>
  <si>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</si>
  <si>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</si>
  <si>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</si>
  <si>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</si>
  <si>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</si>
  <si>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</si>
  <si>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</si>
  <si>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</si>
  <si>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</si>
  <si>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</si>
  <si>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</si>
  <si>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</si>
  <si>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</si>
  <si>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</si>
  <si>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</si>
  <si>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</si>
  <si>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</si>
  <si>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</si>
  <si>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</si>
  <si>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</si>
  <si>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</si>
  <si>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</si>
  <si>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</si>
  <si>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</si>
  <si>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</si>
  <si>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</si>
  <si>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</si>
  <si>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</si>
  <si>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</si>
  <si>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</si>
  <si>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</si>
  <si>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</si>
  <si>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</si>
  <si>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</si>
  <si>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</si>
  <si>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</si>
  <si>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</si>
  <si>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</si>
  <si>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</si>
  <si>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</si>
  <si>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</si>
  <si>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</si>
  <si>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</si>
  <si>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</si>
  <si>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</si>
  <si>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</si>
  <si>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</si>
  <si>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</si>
  <si>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</si>
  <si>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</si>
  <si>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</si>
  <si>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</si>
  <si>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</si>
  <si>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</si>
  <si>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</si>
  <si>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</si>
  <si>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</si>
  <si>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</si>
  <si>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</si>
  <si>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</si>
  <si>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</si>
  <si>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</si>
  <si>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</si>
  <si>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</si>
  <si>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</si>
  <si>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</si>
  <si>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</si>
  <si>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</si>
  <si>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</si>
  <si>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</si>
  <si>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</si>
  <si>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</si>
  <si>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</si>
  <si>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</si>
  <si>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</si>
  <si>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</si>
  <si>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</si>
  <si>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</si>
  <si>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</si>
  <si>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</si>
  <si>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</si>
  <si>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</si>
  <si>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</si>
  <si>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</si>
  <si>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</si>
  <si>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</si>
  <si>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</si>
  <si>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</si>
  <si>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</si>
  <si>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</si>
  <si>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</si>
  <si>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</si>
  <si>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</si>
  <si>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</si>
  <si>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</si>
  <si>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</si>
  <si>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</si>
  <si>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</si>
  <si>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</si>
  <si>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</si>
  <si>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</si>
  <si>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</si>
  <si>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</si>
  <si>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</si>
  <si>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</si>
  <si>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</si>
  <si>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</si>
  <si>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</si>
  <si>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</si>
  <si>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</si>
  <si>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</si>
  <si>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</si>
  <si>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</si>
  <si>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</si>
  <si>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</si>
  <si>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</si>
  <si>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</si>
  <si>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</si>
  <si>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</si>
  <si>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</si>
  <si>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</si>
  <si>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</si>
  <si>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</si>
  <si>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</si>
  <si>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</si>
  <si>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</si>
  <si>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</si>
  <si>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</si>
  <si>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</si>
  <si>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</si>
  <si>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</si>
  <si>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</si>
  <si>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</si>
  <si>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</si>
  <si>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</si>
  <si>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</si>
  <si>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</si>
  <si>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</si>
  <si>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</si>
  <si>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</si>
  <si>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</si>
  <si>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</si>
  <si>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</si>
  <si>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</si>
  <si>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</si>
  <si>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</si>
  <si>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</si>
  <si>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</si>
  <si>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</si>
  <si>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</si>
  <si>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</si>
  <si>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</si>
  <si>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</si>
  <si>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</si>
  <si>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</si>
  <si>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</si>
  <si>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</si>
  <si>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</si>
  <si>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</si>
  <si>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</si>
  <si>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</si>
  <si>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</si>
  <si>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</si>
  <si>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</si>
  <si>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</si>
  <si>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</si>
  <si>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</si>
  <si>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</si>
  <si>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</si>
  <si>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</si>
  <si>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</si>
  <si>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</si>
  <si>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</si>
  <si>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</si>
  <si>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</si>
  <si>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</si>
  <si>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</si>
  <si>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</si>
  <si>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</si>
  <si>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</si>
  <si>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</si>
  <si>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</si>
  <si>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</si>
  <si>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</si>
  <si>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</si>
  <si>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</si>
  <si>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</si>
  <si>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</si>
  <si>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</si>
  <si>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</si>
  <si>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</si>
  <si>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</si>
  <si>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</si>
  <si>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</si>
  <si>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</si>
  <si>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</si>
  <si>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</si>
  <si>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</si>
  <si>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</si>
  <si>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</si>
  <si>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</si>
  <si>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</si>
  <si>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</si>
  <si>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</si>
  <si>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</si>
  <si>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</si>
  <si>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</si>
  <si>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</si>
  <si>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</si>
  <si>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</si>
  <si>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</si>
  <si>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</si>
  <si>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</si>
  <si>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</si>
  <si>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</si>
  <si>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</si>
  <si>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</si>
  <si>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</si>
  <si>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</si>
  <si>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</si>
  <si>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</si>
  <si>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</si>
  <si>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</si>
  <si>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</si>
  <si>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</si>
  <si>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</si>
  <si>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</si>
  <si>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</si>
  <si>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</si>
  <si>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</si>
  <si>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</si>
  <si>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</si>
  <si>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</si>
  <si>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</si>
  <si>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</si>
  <si>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</si>
  <si>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</si>
  <si>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</si>
  <si>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</si>
  <si>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</si>
  <si>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</si>
  <si>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</si>
  <si>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</si>
  <si>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</si>
  <si>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</si>
  <si>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</si>
  <si>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</si>
  <si>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</si>
  <si>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</si>
  <si>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</si>
  <si>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</si>
  <si>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</si>
  <si>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</si>
  <si>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</si>
  <si>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</si>
  <si>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</si>
  <si>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</si>
  <si>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</si>
  <si>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</si>
  <si>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</si>
  <si>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</si>
  <si>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</si>
  <si>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</si>
  <si>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</si>
  <si>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</si>
  <si>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</si>
  <si>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</si>
  <si>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</si>
  <si>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</si>
  <si>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</si>
  <si>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</si>
  <si>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</si>
  <si>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</si>
  <si>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</si>
  <si>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</si>
  <si>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</si>
  <si>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</si>
  <si>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</si>
  <si>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</si>
  <si>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</si>
  <si>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</si>
  <si>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</si>
  <si>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</si>
  <si>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</si>
  <si>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</si>
  <si>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</si>
  <si>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</si>
  <si>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</si>
  <si>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</si>
  <si>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</si>
  <si>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</si>
  <si>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</si>
  <si>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</si>
  <si>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</si>
  <si>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</si>
  <si>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</si>
  <si>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</si>
  <si>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</si>
  <si>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</si>
  <si>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</si>
  <si>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</si>
  <si>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</si>
  <si>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</si>
  <si>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</si>
  <si>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</si>
  <si>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</si>
  <si>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</si>
  <si>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</si>
  <si>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</si>
  <si>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</si>
  <si>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</si>
  <si>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</si>
  <si>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</si>
  <si>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</si>
  <si>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</si>
  <si>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</si>
  <si>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</si>
  <si>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</si>
  <si>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</si>
  <si>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</si>
  <si>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</si>
  <si>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</si>
  <si>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</si>
  <si>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</si>
  <si>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</si>
  <si>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</si>
  <si>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</si>
  <si>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</si>
  <si>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</si>
  <si>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</si>
  <si>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</si>
  <si>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</si>
  <si>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</si>
  <si>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</si>
  <si>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</si>
  <si>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</si>
  <si>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</si>
  <si>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</si>
  <si>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</si>
  <si>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</si>
  <si>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</si>
  <si>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</si>
  <si>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</si>
  <si>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</si>
  <si>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</si>
  <si>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</si>
  <si>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</si>
  <si>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</si>
  <si>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</si>
  <si>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</si>
  <si>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</si>
  <si>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</si>
  <si>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</si>
  <si>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</si>
  <si>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</si>
  <si>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</si>
  <si>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</si>
  <si>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</si>
  <si>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</si>
  <si>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</si>
  <si>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</si>
  <si>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</si>
  <si>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</si>
  <si>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</si>
  <si>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</si>
  <si>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</si>
  <si>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</si>
  <si>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</si>
  <si>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</si>
  <si>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</si>
  <si>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</si>
  <si>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</si>
  <si>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</si>
  <si>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</si>
  <si>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</si>
  <si>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</si>
  <si>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</si>
  <si>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</si>
  <si>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</si>
  <si>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</si>
  <si>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</si>
  <si>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</si>
  <si>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</si>
  <si>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</si>
  <si>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</si>
  <si>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</si>
  <si>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</si>
  <si>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</si>
  <si>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</si>
  <si>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</si>
  <si>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</si>
  <si>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</si>
  <si>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</si>
  <si>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</si>
  <si>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</si>
  <si>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</si>
  <si>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</si>
  <si>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</si>
  <si>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</si>
  <si>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</si>
  <si>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</si>
  <si>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</si>
  <si>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</si>
  <si>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</si>
  <si>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</si>
  <si>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</si>
  <si>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</si>
  <si>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</si>
  <si>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</si>
  <si>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</si>
  <si>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</si>
  <si>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</si>
  <si>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</si>
  <si>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</si>
  <si>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</si>
  <si>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</si>
  <si>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</si>
  <si>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</si>
  <si>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</si>
  <si>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</si>
  <si>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</si>
  <si>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</si>
  <si>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</si>
  <si>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</si>
  <si>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</si>
  <si>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</si>
  <si>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</si>
  <si>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</si>
  <si>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</si>
  <si>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</si>
  <si>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</si>
  <si>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</si>
  <si>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</si>
  <si>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</si>
  <si>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</si>
  <si>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</si>
  <si>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</si>
  <si>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</si>
  <si>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</si>
  <si>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</si>
  <si>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</si>
  <si>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</si>
  <si>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</si>
  <si>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</si>
  <si>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</si>
  <si>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</si>
  <si>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</si>
  <si>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</si>
  <si>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</si>
  <si>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</si>
  <si>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</si>
  <si>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</si>
  <si>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</si>
  <si>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</si>
  <si>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</si>
  <si>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</si>
  <si>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</si>
  <si>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</si>
  <si>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</si>
  <si>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</si>
  <si>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</si>
  <si>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</si>
  <si>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</si>
  <si>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</si>
  <si>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</si>
  <si>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</si>
  <si>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</si>
  <si>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</si>
  <si>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</si>
  <si>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</si>
  <si>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</si>
  <si>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</si>
  <si>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</si>
  <si>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</si>
  <si>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</si>
  <si>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</si>
  <si>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</si>
  <si>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</si>
  <si>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</si>
  <si>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</si>
  <si>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</si>
  <si>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</si>
  <si>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</si>
  <si>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</si>
  <si>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</si>
  <si>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</si>
  <si>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</si>
  <si>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</si>
  <si>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</si>
  <si>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</si>
  <si>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</si>
  <si>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</si>
  <si>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</si>
  <si>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</si>
  <si>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</si>
  <si>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</si>
  <si>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</si>
  <si>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</si>
  <si>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</si>
  <si>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</si>
  <si>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</si>
  <si>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</si>
  <si>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</si>
  <si>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</si>
  <si>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</si>
  <si>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</si>
  <si>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</si>
  <si>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</si>
  <si>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</si>
  <si>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</si>
  <si>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</si>
  <si>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</si>
  <si>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</si>
  <si>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</si>
  <si>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</si>
  <si>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</si>
  <si>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</si>
  <si>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</si>
  <si>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</si>
  <si>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</si>
  <si>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</si>
  <si>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</si>
  <si>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</si>
  <si>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</si>
  <si>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</si>
  <si>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</si>
  <si>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</si>
  <si>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</si>
  <si>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</si>
  <si>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</si>
  <si>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</si>
  <si>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</si>
  <si>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</si>
  <si>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</si>
  <si>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</si>
  <si>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</si>
  <si>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</si>
  <si>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</si>
  <si>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</si>
  <si>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</si>
  <si>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</si>
  <si>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</si>
  <si>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</si>
  <si>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</si>
  <si>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</si>
  <si>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</si>
  <si>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</si>
  <si>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</si>
  <si>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</si>
  <si>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</si>
  <si>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</si>
  <si>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</si>
  <si>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</si>
  <si>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</si>
  <si>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</si>
  <si>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</si>
  <si>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</si>
  <si>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</si>
  <si>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</si>
  <si>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</si>
  <si>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</si>
  <si>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</si>
  <si>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</si>
  <si>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</si>
  <si>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</si>
  <si>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</si>
  <si>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</si>
  <si>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</si>
  <si>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</si>
  <si>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</si>
  <si>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</si>
  <si>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</si>
  <si>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</si>
  <si>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</si>
  <si>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</si>
  <si>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</si>
  <si>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</si>
  <si>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</si>
  <si>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</si>
  <si>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</si>
  <si>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</si>
  <si>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</si>
  <si>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</si>
  <si>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</si>
  <si>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</si>
  <si>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</si>
  <si>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</si>
  <si>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</si>
  <si>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</si>
  <si>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</si>
  <si>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</si>
  <si>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</si>
  <si>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</si>
  <si>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</si>
  <si>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</si>
  <si>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</si>
  <si>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</si>
  <si>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</si>
  <si>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</si>
  <si>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</si>
  <si>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</si>
  <si>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</si>
  <si>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</si>
  <si>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</si>
  <si>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</si>
  <si>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</si>
  <si>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</si>
  <si>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</si>
  <si>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</si>
  <si>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</si>
  <si>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</si>
  <si>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</si>
  <si>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</si>
  <si>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</si>
  <si>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</si>
  <si>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</si>
  <si>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</si>
  <si>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</si>
  <si>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</si>
  <si>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</si>
  <si>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</si>
  <si>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</si>
  <si>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</si>
  <si>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</si>
  <si>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</si>
  <si>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</si>
  <si>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</si>
  <si>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</si>
  <si>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</si>
  <si>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</si>
  <si>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</si>
  <si>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</si>
  <si>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</si>
  <si>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</si>
  <si>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</si>
  <si>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</si>
  <si>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</si>
  <si>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</si>
  <si>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</si>
  <si>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</si>
  <si>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</si>
  <si>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</si>
  <si>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</si>
  <si>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</si>
  <si>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</si>
  <si>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</si>
  <si>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</si>
  <si>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</si>
  <si>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</si>
  <si>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</si>
  <si>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</si>
  <si>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</si>
  <si>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</si>
  <si>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</si>
  <si>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</si>
  <si>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</si>
  <si>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</si>
  <si>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</si>
  <si>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</si>
  <si>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</si>
  <si>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</si>
  <si>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</si>
  <si>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</si>
  <si>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</si>
  <si>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</si>
  <si>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</si>
  <si>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</si>
  <si>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</si>
  <si>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</si>
  <si>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</si>
  <si>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</si>
  <si>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</si>
  <si>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</si>
  <si>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</si>
  <si>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</si>
  <si>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</si>
  <si>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</si>
  <si>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</si>
  <si>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</si>
  <si>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</si>
  <si>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</si>
  <si>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</si>
  <si>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</si>
  <si>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</si>
  <si>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</si>
  <si>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</si>
  <si>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</si>
  <si>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</si>
  <si>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</si>
  <si>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</si>
  <si>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</si>
  <si>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</si>
  <si>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</si>
  <si>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</si>
  <si>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</si>
  <si>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</si>
  <si>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</si>
  <si>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</si>
  <si>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</si>
  <si>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</si>
  <si>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</si>
  <si>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</si>
  <si>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</si>
  <si>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</si>
  <si>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</si>
  <si>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</si>
  <si>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</si>
  <si>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</si>
  <si>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</si>
  <si>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</si>
  <si>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</si>
  <si>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</si>
  <si>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</si>
  <si>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</si>
  <si>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</si>
  <si>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</si>
  <si>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</si>
  <si>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</si>
  <si>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</si>
  <si>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</si>
  <si>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</si>
  <si>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</si>
  <si>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</si>
  <si>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</si>
  <si>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</si>
  <si>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</si>
  <si>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</si>
  <si>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</si>
  <si>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</si>
  <si>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</si>
  <si>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</si>
  <si>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</si>
  <si>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</si>
  <si>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</si>
  <si>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</si>
  <si>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</si>
  <si>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</si>
  <si>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</si>
  <si>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</si>
  <si>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</si>
  <si>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</si>
  <si>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</si>
  <si>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</si>
  <si>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</si>
  <si>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</si>
  <si>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</si>
  <si>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</si>
  <si>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</si>
  <si>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</si>
  <si>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</si>
  <si>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</si>
  <si>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</si>
  <si>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</si>
  <si>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</si>
  <si>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</si>
  <si>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</si>
  <si>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</si>
  <si>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</si>
  <si>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</si>
  <si>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</si>
  <si>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</si>
  <si>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</si>
  <si>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</si>
  <si>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</si>
  <si>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</si>
  <si>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</si>
  <si>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</si>
  <si>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</si>
  <si>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</si>
  <si>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</si>
  <si>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</si>
  <si>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</si>
  <si>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</si>
  <si>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</si>
  <si>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</si>
  <si>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</si>
  <si>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</si>
  <si>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</si>
  <si>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</si>
  <si>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</si>
  <si>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</si>
  <si>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</si>
  <si>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</si>
  <si>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</si>
  <si>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</si>
  <si>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</si>
  <si>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</si>
  <si>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</si>
  <si>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</si>
  <si>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</si>
  <si>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</si>
  <si>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</si>
  <si>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</si>
  <si>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</si>
  <si>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</si>
  <si>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</si>
  <si>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</si>
  <si>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</si>
  <si>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</si>
  <si>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</si>
  <si>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</si>
  <si>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</si>
  <si>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</si>
  <si>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</si>
  <si>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</si>
  <si>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</si>
  <si>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</si>
  <si>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</si>
  <si>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</si>
  <si>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</si>
  <si>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</si>
  <si>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</si>
  <si>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</si>
  <si>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</si>
  <si>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</si>
  <si>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</si>
  <si>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</si>
  <si>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</si>
  <si>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</si>
  <si>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</si>
  <si>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</si>
  <si>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</si>
  <si>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</si>
  <si>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</si>
  <si>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</si>
  <si>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</si>
  <si>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</si>
  <si>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</si>
  <si>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</si>
  <si>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</si>
  <si>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</si>
  <si>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</si>
  <si>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</si>
  <si>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</si>
  <si>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</si>
  <si>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</si>
  <si>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</si>
  <si>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</si>
  <si>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</si>
  <si>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</si>
  <si>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</si>
  <si>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</si>
  <si>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</si>
  <si>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</si>
  <si>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</si>
  <si>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</si>
  <si>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</si>
  <si>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</si>
  <si>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</si>
  <si>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</si>
  <si>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</si>
  <si>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</si>
  <si>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</si>
  <si>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</si>
  <si>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</si>
  <si>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</si>
  <si>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</si>
  <si>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</si>
  <si>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</si>
  <si>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</si>
  <si>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</si>
  <si>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</si>
  <si>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</si>
  <si>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</si>
  <si>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</si>
  <si>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</si>
  <si>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</si>
  <si>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</si>
  <si>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</si>
  <si>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</si>
  <si>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</si>
  <si>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</si>
  <si>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</si>
  <si>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</si>
  <si>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</si>
  <si>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</si>
  <si>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</si>
  <si>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</si>
  <si>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</si>
  <si>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</si>
  <si>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</si>
  <si>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</si>
  <si>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</si>
  <si>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</si>
  <si>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</si>
  <si>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</si>
  <si>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</si>
  <si>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</si>
  <si>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</si>
  <si>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</si>
  <si>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</si>
  <si>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</si>
  <si>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</si>
  <si>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</si>
  <si>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</si>
  <si>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</si>
  <si>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</si>
  <si>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</si>
  <si>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</si>
  <si>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</si>
  <si>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</si>
  <si>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</si>
  <si>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</si>
  <si>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</si>
  <si>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</si>
  <si>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</si>
  <si>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</si>
  <si>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</si>
  <si>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</si>
  <si>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</si>
  <si>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</si>
  <si>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</si>
  <si>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</si>
  <si>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</si>
  <si>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</si>
  <si>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</si>
  <si>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</si>
  <si>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</si>
  <si>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</si>
  <si>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</si>
  <si>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</si>
  <si>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</si>
  <si>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</si>
  <si>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</si>
  <si>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</si>
  <si>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</si>
  <si>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</si>
  <si>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</si>
  <si>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</si>
  <si>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</si>
  <si>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</si>
  <si>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</si>
  <si>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</si>
  <si>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</si>
  <si>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</si>
  <si>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</si>
  <si>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</si>
  <si>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</si>
  <si>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</si>
  <si>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</si>
  <si>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</si>
  <si>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</si>
  <si>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</si>
  <si>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</si>
  <si>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</si>
  <si>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</si>
  <si>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</si>
  <si>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</si>
  <si>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</si>
  <si>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</si>
  <si>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</si>
  <si>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</si>
  <si>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</si>
  <si>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</si>
  <si>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</si>
  <si>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</si>
  <si>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</si>
  <si>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</si>
  <si>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</si>
  <si>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</si>
  <si>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</si>
  <si>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</si>
  <si>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</si>
  <si>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</si>
  <si>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</si>
  <si>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</si>
  <si>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</si>
  <si>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</si>
  <si>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</si>
  <si>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</si>
  <si>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</si>
  <si>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</si>
  <si>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</si>
  <si>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</si>
  <si>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</si>
  <si>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</si>
  <si>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</si>
  <si>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</si>
  <si>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</si>
  <si>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</si>
  <si>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</si>
  <si>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</si>
  <si>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</si>
  <si>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</si>
  <si>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</si>
  <si>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</si>
  <si>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</si>
  <si>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</si>
  <si>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</si>
  <si>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</si>
  <si>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</si>
  <si>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</si>
  <si>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</si>
  <si>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</si>
  <si>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</si>
  <si>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</si>
  <si>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</si>
  <si>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</si>
  <si>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</si>
  <si>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</si>
  <si>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</si>
  <si>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</si>
  <si>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</si>
  <si>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</si>
  <si>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</si>
  <si>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</si>
  <si>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</si>
  <si>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</si>
  <si>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</si>
  <si>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</si>
  <si>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</si>
  <si>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</si>
  <si>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</si>
  <si>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</si>
  <si>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</si>
  <si>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</si>
  <si>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</si>
  <si>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</si>
  <si>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</si>
  <si>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</si>
  <si>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</si>
  <si>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</si>
  <si>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</si>
  <si>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</si>
  <si>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</si>
  <si>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</si>
  <si>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</si>
  <si>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</si>
  <si>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</si>
  <si>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</si>
  <si>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</si>
  <si>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</si>
  <si>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</si>
  <si>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</si>
  <si>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</si>
  <si>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</si>
  <si>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</si>
  <si>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</si>
  <si>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</si>
  <si>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</si>
  <si>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</si>
  <si>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</si>
  <si>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</si>
  <si>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</si>
  <si>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</si>
  <si>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</si>
  <si>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</si>
  <si>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</si>
  <si>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</si>
  <si>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</si>
  <si>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</si>
  <si>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</si>
  <si>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</si>
  <si>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</si>
  <si>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</si>
  <si>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</si>
  <si>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</si>
  <si>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</si>
  <si>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</si>
  <si>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</si>
  <si>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</si>
  <si>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</si>
  <si>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</si>
  <si>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</si>
  <si>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</si>
  <si>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</si>
  <si>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</si>
  <si>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</si>
  <si>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</si>
  <si>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</si>
  <si>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</si>
  <si>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</si>
  <si>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</si>
  <si>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</si>
  <si>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</si>
  <si>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</si>
  <si>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</si>
  <si>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</si>
  <si>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</si>
  <si>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</si>
  <si>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</si>
  <si>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</si>
  <si>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</si>
  <si>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</si>
  <si>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</si>
  <si>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</si>
  <si>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</si>
  <si>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</si>
  <si>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</si>
  <si>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</si>
  <si>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</si>
  <si>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</si>
  <si>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</si>
  <si>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</si>
  <si>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</si>
  <si>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</si>
  <si>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</si>
  <si>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</si>
  <si>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</si>
  <si>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</si>
  <si>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</si>
  <si>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</si>
  <si>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</si>
  <si>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</si>
  <si>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</si>
  <si>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</si>
  <si>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</si>
  <si>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</si>
  <si>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</si>
  <si>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</si>
  <si>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</si>
  <si>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</si>
  <si>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</si>
  <si>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</si>
  <si>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</si>
  <si>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</si>
  <si>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</si>
  <si>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</si>
  <si>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</si>
  <si>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</si>
  <si>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</si>
  <si>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</si>
  <si>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</si>
  <si>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</si>
  <si>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</si>
  <si>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</si>
  <si>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</si>
  <si>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</si>
  <si>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</si>
  <si>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</si>
  <si>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</si>
  <si>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</si>
  <si>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</si>
  <si>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</si>
  <si>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</si>
  <si>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</si>
  <si>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</si>
  <si>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</si>
  <si>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</si>
  <si>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</si>
  <si>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</si>
  <si>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</si>
  <si>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</si>
  <si>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</si>
  <si>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</si>
  <si>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</si>
  <si>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</si>
  <si>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</si>
  <si>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</si>
  <si>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</si>
  <si>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</si>
  <si>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</si>
  <si>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</si>
  <si>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</si>
  <si>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</si>
  <si>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</si>
  <si>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</si>
  <si>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</si>
  <si>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</si>
  <si>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</si>
  <si>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</si>
  <si>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</si>
  <si>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</si>
  <si>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</si>
  <si>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</si>
  <si>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</si>
  <si>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</si>
  <si>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</si>
  <si>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</si>
  <si>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</si>
  <si>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</si>
  <si>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</si>
  <si>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</si>
  <si>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</si>
  <si>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</si>
  <si>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</si>
  <si>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</si>
  <si>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</si>
  <si>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</si>
  <si>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</si>
  <si>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</si>
  <si>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</si>
  <si>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</si>
  <si>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</si>
  <si>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</si>
  <si>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</si>
  <si>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</si>
  <si>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</si>
  <si>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</si>
  <si>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</si>
  <si>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</si>
  <si>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</si>
  <si>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</si>
  <si>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</si>
  <si>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</si>
  <si>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</si>
  <si>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</si>
  <si>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</si>
  <si>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</si>
  <si>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</si>
  <si>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</si>
  <si>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</si>
  <si>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</si>
  <si>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</si>
  <si>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</si>
  <si>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</si>
  <si>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</si>
  <si>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</si>
  <si>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</si>
  <si>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</si>
  <si>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</si>
  <si>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</si>
  <si>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</si>
  <si>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</si>
  <si>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</si>
  <si>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</si>
  <si>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</si>
  <si>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</si>
  <si>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</si>
  <si>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</si>
  <si>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</si>
  <si>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</si>
  <si>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</si>
  <si>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</si>
  <si>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</si>
  <si>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</si>
  <si>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</si>
  <si>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</si>
  <si>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</si>
  <si>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</si>
  <si>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</si>
  <si>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</si>
  <si>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</si>
  <si>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</si>
  <si>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</si>
  <si>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</si>
  <si>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</si>
  <si>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</si>
  <si>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</si>
  <si>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</si>
  <si>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</si>
  <si>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</si>
  <si>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</si>
  <si>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</si>
  <si>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</si>
  <si>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</si>
  <si>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</si>
  <si>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</si>
  <si>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</si>
  <si>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</si>
  <si>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</si>
  <si>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</si>
  <si>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</si>
  <si>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</si>
  <si>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</si>
  <si>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</si>
  <si>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</si>
  <si>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</si>
  <si>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</si>
  <si>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</si>
  <si>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</si>
  <si>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</si>
  <si>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</si>
  <si>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</si>
  <si>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</si>
  <si>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</si>
  <si>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</si>
  <si>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</si>
  <si>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</si>
  <si>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</si>
  <si>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</si>
  <si>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</si>
  <si>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</si>
  <si>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</si>
  <si>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</si>
  <si>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</si>
  <si>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</si>
  <si>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</si>
  <si>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</si>
  <si>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</si>
  <si>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</si>
  <si>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</si>
  <si>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</si>
  <si>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</si>
  <si>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</si>
  <si>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</si>
  <si>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</si>
  <si>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</si>
  <si>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</si>
  <si>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</si>
  <si>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</si>
  <si>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</si>
  <si>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</si>
  <si>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</si>
  <si>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</si>
  <si>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</si>
  <si>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</si>
  <si>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</si>
  <si>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</si>
  <si>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</si>
  <si>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</si>
  <si>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</si>
  <si>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</si>
  <si>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</si>
  <si>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</si>
  <si>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</si>
  <si>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</si>
  <si>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</si>
  <si>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</si>
  <si>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</si>
  <si>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</si>
  <si>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</si>
  <si>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</si>
  <si>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</si>
  <si>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</si>
  <si>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</si>
  <si>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</si>
  <si>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</si>
  <si>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</si>
  <si>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</si>
  <si>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</si>
  <si>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</si>
  <si>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</si>
  <si>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</si>
  <si>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</si>
  <si>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</si>
  <si>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</si>
  <si>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</si>
  <si>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</si>
  <si>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</si>
  <si>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</si>
  <si>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</si>
  <si>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</si>
  <si>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</si>
  <si>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</si>
  <si>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</si>
  <si>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</si>
  <si>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</si>
  <si>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</si>
  <si>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</si>
  <si>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</si>
  <si>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</si>
  <si>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</si>
  <si>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</si>
  <si>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</si>
  <si>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</si>
  <si>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</si>
  <si>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</si>
  <si>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</si>
  <si>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</si>
  <si>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</si>
  <si>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</si>
  <si>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</si>
  <si>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</si>
  <si>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</si>
  <si>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</si>
  <si>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</si>
  <si>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</si>
  <si>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</si>
  <si>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</si>
  <si>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</si>
  <si>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</si>
  <si>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</si>
  <si>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</si>
  <si>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</si>
  <si>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</si>
  <si>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</si>
  <si>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</si>
  <si>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</si>
  <si>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</si>
  <si>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</si>
  <si>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</si>
  <si>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</si>
  <si>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</si>
  <si>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</si>
  <si>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</si>
  <si>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</si>
  <si>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</si>
  <si>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</si>
  <si>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</si>
  <si>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</si>
  <si>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</si>
  <si>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</si>
  <si>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</si>
  <si>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</si>
  <si>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</si>
  <si>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</si>
  <si>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</si>
  <si>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</si>
  <si>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</si>
  <si>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</si>
  <si>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</si>
  <si>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</si>
  <si>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</si>
  <si>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</si>
  <si>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</si>
  <si>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</si>
  <si>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</si>
  <si>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</si>
  <si>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</si>
  <si>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</si>
  <si>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</si>
  <si>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</si>
  <si>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</si>
  <si>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</si>
  <si>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</si>
  <si>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</si>
  <si>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</si>
  <si>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</si>
  <si>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</si>
  <si>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</si>
  <si>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</si>
  <si>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</si>
  <si>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</si>
  <si>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</si>
  <si>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</si>
  <si>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</si>
  <si>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</si>
  <si>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</si>
  <si>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</si>
  <si>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</si>
  <si>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</si>
  <si>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</si>
  <si>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</si>
  <si>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</si>
  <si>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</si>
  <si>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</si>
  <si>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</si>
  <si>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</si>
  <si>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</si>
  <si>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</si>
  <si>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</si>
  <si>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</si>
  <si>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</si>
  <si>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</si>
  <si>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</si>
  <si>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</si>
  <si>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</si>
  <si>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</si>
  <si>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</si>
  <si>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</si>
  <si>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</si>
  <si>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</si>
  <si>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</si>
  <si>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</si>
  <si>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</si>
  <si>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</si>
  <si>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</si>
  <si>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</si>
  <si>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</si>
  <si>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</si>
  <si>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</si>
  <si>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</si>
  <si>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</si>
  <si>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</si>
  <si>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</si>
  <si>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</si>
  <si>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</si>
  <si>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</si>
  <si>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</si>
  <si>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</si>
  <si>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</si>
  <si>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</si>
  <si>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</si>
  <si>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</si>
  <si>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</si>
  <si>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</si>
  <si>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</si>
  <si>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</si>
  <si>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</si>
  <si>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</si>
  <si>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</si>
  <si>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</si>
  <si>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</si>
  <si>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</si>
  <si>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</si>
  <si>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</si>
  <si>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</si>
  <si>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</si>
  <si>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</si>
  <si>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</si>
  <si>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</si>
  <si>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</si>
  <si>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</si>
  <si>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</si>
  <si>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</si>
  <si>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</si>
  <si>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</si>
  <si>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</si>
  <si>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</si>
  <si>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</si>
  <si>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</si>
  <si>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</si>
  <si>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</si>
  <si>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</si>
  <si>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</si>
  <si>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</si>
  <si>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</si>
  <si>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</si>
  <si>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</si>
  <si>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</si>
  <si>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</si>
  <si>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</si>
  <si>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</si>
  <si>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</si>
  <si>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</si>
  <si>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</si>
  <si>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</si>
  <si>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</si>
  <si>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</si>
  <si>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</si>
  <si>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</si>
  <si>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</si>
  <si>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</si>
  <si>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</si>
  <si>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</si>
  <si>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</si>
  <si>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</si>
  <si>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</si>
  <si>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</si>
  <si>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</si>
  <si>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</si>
  <si>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</si>
  <si>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</si>
  <si>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</si>
  <si>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</si>
  <si>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</si>
  <si>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</si>
  <si>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</si>
  <si>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</si>
  <si>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</si>
  <si>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</si>
  <si>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</si>
  <si>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</si>
  <si>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</si>
  <si>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</si>
  <si>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</si>
  <si>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</si>
  <si>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</si>
  <si>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</si>
  <si>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</si>
  <si>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</si>
  <si>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</si>
  <si>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</si>
  <si>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</si>
  <si>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</si>
  <si>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</si>
  <si>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</si>
  <si>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</si>
  <si>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</si>
  <si>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</si>
  <si>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</si>
  <si>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</si>
  <si>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</si>
  <si>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</si>
  <si>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</si>
  <si>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</si>
  <si>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</si>
  <si>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</si>
  <si>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</si>
  <si>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</si>
  <si>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</si>
  <si>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</si>
  <si>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</si>
  <si>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</si>
  <si>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</si>
  <si>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</si>
  <si>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</si>
  <si>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</si>
  <si>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</si>
  <si>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</si>
  <si>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</si>
  <si>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</si>
  <si>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</si>
  <si>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</si>
  <si>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</si>
  <si>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</si>
  <si>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</si>
  <si>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</si>
  <si>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</si>
  <si>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</si>
  <si>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</si>
  <si>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</si>
  <si>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</si>
  <si>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</si>
  <si>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</si>
  <si>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</si>
  <si>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</si>
  <si>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</si>
  <si>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</si>
  <si>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</si>
  <si>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</si>
  <si>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</si>
  <si>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</si>
  <si>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</si>
  <si>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</si>
  <si>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</si>
  <si>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</si>
  <si>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</si>
  <si>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</si>
  <si>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</si>
  <si>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</si>
  <si>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</si>
  <si>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</si>
  <si>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</si>
  <si>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</si>
  <si>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</si>
  <si>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</si>
  <si>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</si>
  <si>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</si>
  <si>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</si>
  <si>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</si>
  <si>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</si>
  <si>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</si>
  <si>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</si>
  <si>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</si>
  <si>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</si>
  <si>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</si>
  <si>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</si>
  <si>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</si>
  <si>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</si>
  <si>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</si>
  <si>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</si>
  <si>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</si>
  <si>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</si>
  <si>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</si>
  <si>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</si>
  <si>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</si>
  <si>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</si>
  <si>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</si>
  <si>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</si>
  <si>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</si>
  <si>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</si>
  <si>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</si>
  <si>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</si>
  <si>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</si>
  <si>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</si>
  <si>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</si>
  <si>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</si>
  <si>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</si>
  <si>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</si>
  <si>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</si>
  <si>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</si>
  <si>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</si>
  <si>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</si>
  <si>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</si>
  <si>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</si>
  <si>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</si>
  <si>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</si>
  <si>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</si>
  <si>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</si>
  <si>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</si>
  <si>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</si>
  <si>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</si>
  <si>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</si>
  <si>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</si>
  <si>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</si>
  <si>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</si>
  <si>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</si>
  <si>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</si>
  <si>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</si>
  <si>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</si>
  <si>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</si>
  <si>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</si>
  <si>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</si>
  <si>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</si>
  <si>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</si>
  <si>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</si>
  <si>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</si>
  <si>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</si>
  <si>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</si>
  <si>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</si>
  <si>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</si>
  <si>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</si>
  <si>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</si>
  <si>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</si>
  <si>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</si>
  <si>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</si>
  <si>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</si>
  <si>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</si>
  <si>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</si>
  <si>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</si>
  <si>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</si>
  <si>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</si>
  <si>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</si>
  <si>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</si>
  <si>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</si>
  <si>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</si>
  <si>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</si>
  <si>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</si>
  <si>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</si>
  <si>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</si>
  <si>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</si>
  <si>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</si>
  <si>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</si>
  <si>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</si>
  <si>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</si>
  <si>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</si>
  <si>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</si>
  <si>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</si>
  <si>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</si>
  <si>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</si>
  <si>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</si>
  <si>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</si>
  <si>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</si>
  <si>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</si>
  <si>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</si>
  <si>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</si>
  <si>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</si>
  <si>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</si>
  <si>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</si>
  <si>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</si>
  <si>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</si>
  <si>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</si>
  <si>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</si>
  <si>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</si>
  <si>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</si>
  <si>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</si>
  <si>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</si>
  <si>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</si>
  <si>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</si>
  <si>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</si>
  <si>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</si>
  <si>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</si>
  <si>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</si>
  <si>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</si>
  <si>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</si>
  <si>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</si>
  <si>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</si>
  <si>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</si>
  <si>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</si>
  <si>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</si>
  <si>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</si>
  <si>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</si>
  <si>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</si>
  <si>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</si>
  <si>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</si>
  <si>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</si>
  <si>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</si>
  <si>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</si>
  <si>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</si>
  <si>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</si>
  <si>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</si>
  <si>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</si>
  <si>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</si>
  <si>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</si>
  <si>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</si>
  <si>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</si>
  <si>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</si>
  <si>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</si>
  <si>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</si>
  <si>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</si>
  <si>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</si>
  <si>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</si>
  <si>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</si>
  <si>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</si>
  <si>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</si>
  <si>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</si>
  <si>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</si>
  <si>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</si>
  <si>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</si>
  <si>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</si>
  <si>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</si>
  <si>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</si>
  <si>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</si>
  <si>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</si>
  <si>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</si>
  <si>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</si>
  <si>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</si>
  <si>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</si>
  <si>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</si>
  <si>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</si>
  <si>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</si>
  <si>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</si>
  <si>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</si>
  <si>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</si>
  <si>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</si>
  <si>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</si>
  <si>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</si>
  <si>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</si>
  <si>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</si>
  <si>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</si>
  <si>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</si>
  <si>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</si>
  <si>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</si>
  <si>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</si>
  <si>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</si>
  <si>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</si>
  <si>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</si>
  <si>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</si>
  <si>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</si>
  <si>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</si>
  <si>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</si>
  <si>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</si>
  <si>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</si>
  <si>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</si>
  <si>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</si>
  <si>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</si>
  <si>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</si>
  <si>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</si>
  <si>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</si>
  <si>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</si>
  <si>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</si>
  <si>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</si>
  <si>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</si>
  <si>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</si>
  <si>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</si>
  <si>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</si>
  <si>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</si>
  <si>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</si>
  <si>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</si>
  <si>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</si>
  <si>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</si>
  <si>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</si>
  <si>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</si>
  <si>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</si>
  <si>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</si>
  <si>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</si>
  <si>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</si>
  <si>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</si>
  <si>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</si>
  <si>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</si>
  <si>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</si>
  <si>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</si>
  <si>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</si>
  <si>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</si>
  <si>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</si>
  <si>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</si>
  <si>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</si>
  <si>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</si>
  <si>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</si>
  <si>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</si>
  <si>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</si>
  <si>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</si>
  <si>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</si>
  <si>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</si>
  <si>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</si>
  <si>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</si>
  <si>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</si>
  <si>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</si>
  <si>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</si>
  <si>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</si>
  <si>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</si>
  <si>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</si>
  <si>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</si>
  <si>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</si>
  <si>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</si>
  <si>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</si>
  <si>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</si>
  <si>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</si>
  <si>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</si>
  <si>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</si>
  <si>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</si>
  <si>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</si>
  <si>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</si>
  <si>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</si>
  <si>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</si>
  <si>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</si>
  <si>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</si>
  <si>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</si>
  <si>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</si>
  <si>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</si>
  <si>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</si>
  <si>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</si>
  <si>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</si>
  <si>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</si>
  <si>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</si>
  <si>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</si>
  <si>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</si>
  <si>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</si>
  <si>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</si>
  <si>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</si>
  <si>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</si>
  <si>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</si>
  <si>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</si>
  <si>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</si>
  <si>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</si>
  <si>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</si>
  <si>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</si>
  <si>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</si>
  <si>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</si>
  <si>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</si>
  <si>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</si>
  <si>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</si>
  <si>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</si>
  <si>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</si>
  <si>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</si>
  <si>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</si>
  <si>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</si>
  <si>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</si>
  <si>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</si>
  <si>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</si>
  <si>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</si>
  <si>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</si>
  <si>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</si>
  <si>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</si>
  <si>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</si>
  <si>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</si>
  <si>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</si>
  <si>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</si>
  <si>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</si>
  <si>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</si>
  <si>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</si>
  <si>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</si>
  <si>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</si>
  <si>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</si>
  <si>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</si>
  <si>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</si>
  <si>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</si>
  <si>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</si>
  <si>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</si>
  <si>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</si>
  <si>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</si>
  <si>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</si>
  <si>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</si>
  <si>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</si>
  <si>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</si>
  <si>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</si>
  <si>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</si>
  <si>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</si>
  <si>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</si>
  <si>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</si>
  <si>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</si>
  <si>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</si>
  <si>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</si>
  <si>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</si>
  <si>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</si>
  <si>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</si>
  <si>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</si>
  <si>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</si>
  <si>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</si>
  <si>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</si>
  <si>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</si>
  <si>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</si>
  <si>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</si>
  <si>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</si>
  <si>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</si>
  <si>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</si>
  <si>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</si>
  <si>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</si>
  <si>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</si>
  <si>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</si>
  <si>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</si>
  <si>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</si>
  <si>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</si>
  <si>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</si>
  <si>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</si>
  <si>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</si>
  <si>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</si>
  <si>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</si>
  <si>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</si>
  <si>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</si>
  <si>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</si>
  <si>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</si>
  <si>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</si>
  <si>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</si>
  <si>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</si>
  <si>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</si>
  <si>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</si>
  <si>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</si>
  <si>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</si>
  <si>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</si>
  <si>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</si>
  <si>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</si>
  <si>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</si>
  <si>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</si>
  <si>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</si>
  <si>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</si>
  <si>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</si>
  <si>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</si>
  <si>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</si>
  <si>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</si>
  <si>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</si>
  <si>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</si>
  <si>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</si>
  <si>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</si>
  <si>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</si>
  <si>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</si>
  <si>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</si>
  <si>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</si>
  <si>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</si>
  <si>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</si>
  <si>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</si>
  <si>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</si>
  <si>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</si>
  <si>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</si>
  <si>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</si>
  <si>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</si>
  <si>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</si>
  <si>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</si>
  <si>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</si>
  <si>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</si>
  <si>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</si>
  <si>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</si>
  <si>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</si>
  <si>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</si>
  <si>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</si>
  <si>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</si>
  <si>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</si>
  <si>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</si>
  <si>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</si>
  <si>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</si>
  <si>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</si>
  <si>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</si>
  <si>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</si>
  <si>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</si>
  <si>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</si>
  <si>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</si>
  <si>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</si>
  <si>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</si>
  <si>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</si>
  <si>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</si>
  <si>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</si>
  <si>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</si>
  <si>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</si>
  <si>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</si>
  <si>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</si>
  <si>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</si>
  <si>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</si>
  <si>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</si>
  <si>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</si>
  <si>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</si>
  <si>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</si>
  <si>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</si>
  <si>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</si>
  <si>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</si>
  <si>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</si>
  <si>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</si>
  <si>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</si>
  <si>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</si>
  <si>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</si>
  <si>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</si>
  <si>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</si>
  <si>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</si>
  <si>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</si>
  <si>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</si>
  <si>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</si>
  <si>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</si>
  <si>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</si>
  <si>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</si>
  <si>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</si>
  <si>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</si>
  <si>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</si>
  <si>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</si>
  <si>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</si>
  <si>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</si>
  <si>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</si>
  <si>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</si>
  <si>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</si>
  <si>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</si>
  <si>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</si>
  <si>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</si>
  <si>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</si>
  <si>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</si>
  <si>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</si>
  <si>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</si>
  <si>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</si>
  <si>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</si>
  <si>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</si>
  <si>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</si>
  <si>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</si>
  <si>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</si>
  <si>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</si>
  <si>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</si>
  <si>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</si>
  <si>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</si>
  <si>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</si>
  <si>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</si>
  <si>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</si>
  <si>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</si>
  <si>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</si>
  <si>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</si>
  <si>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</si>
  <si>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</si>
  <si>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</si>
  <si>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</si>
  <si>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</si>
  <si>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</si>
  <si>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</si>
  <si>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</si>
  <si>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</si>
  <si>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</si>
  <si>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</si>
  <si>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</si>
  <si>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</si>
  <si>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</si>
  <si>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</si>
  <si>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</si>
  <si>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</si>
  <si>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</si>
  <si>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</si>
  <si>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</si>
  <si>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</si>
  <si>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</si>
  <si>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</si>
  <si>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</si>
  <si>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</si>
  <si>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</si>
  <si>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</si>
  <si>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</si>
  <si>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</si>
  <si>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</si>
  <si>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</si>
  <si>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</si>
  <si>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</si>
  <si>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</si>
  <si>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</si>
  <si>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</si>
  <si>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</si>
  <si>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</si>
  <si>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</si>
  <si>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</si>
  <si>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</si>
  <si>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</si>
  <si>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</si>
  <si>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</si>
  <si>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</si>
  <si>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</si>
  <si>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</si>
  <si>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</si>
  <si>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</si>
  <si>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</si>
  <si>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</si>
  <si>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</si>
  <si>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</si>
  <si>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</si>
  <si>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</si>
  <si>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</si>
  <si>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</si>
  <si>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</si>
  <si>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</si>
  <si>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</si>
  <si>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</si>
  <si>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</si>
  <si>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</si>
  <si>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</si>
  <si>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</si>
  <si>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</si>
  <si>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</si>
  <si>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</si>
  <si>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</si>
  <si>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</si>
  <si>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</si>
  <si>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</si>
  <si>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</si>
  <si>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</si>
  <si>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</si>
  <si>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</si>
  <si>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</si>
  <si>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</si>
  <si>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</si>
  <si>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</si>
  <si>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</si>
  <si>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</si>
  <si>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</si>
  <si>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</si>
  <si>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</si>
  <si>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</si>
  <si>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</si>
  <si>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</si>
  <si>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</si>
  <si>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</si>
  <si>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</si>
  <si>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</si>
  <si>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</si>
  <si>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</si>
  <si>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</si>
  <si>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</si>
  <si>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</si>
  <si>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</si>
  <si>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</si>
  <si>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</si>
  <si>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</si>
  <si>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</si>
  <si>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</si>
  <si>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</si>
  <si>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</si>
  <si>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</si>
  <si>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</si>
  <si>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</si>
  <si>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</si>
  <si>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</si>
  <si>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</si>
  <si>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</si>
  <si>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</si>
  <si>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</si>
  <si>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</si>
  <si>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</si>
  <si>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</si>
  <si>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</si>
  <si>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</si>
  <si>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</si>
  <si>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</si>
  <si>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</si>
  <si>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</si>
  <si>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</si>
  <si>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</si>
  <si>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</si>
  <si>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</si>
  <si>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</si>
  <si>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</si>
  <si>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</si>
  <si>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</si>
  <si>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</si>
  <si>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</si>
  <si>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</si>
  <si>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</si>
  <si>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</si>
  <si>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</si>
  <si>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</si>
  <si>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</si>
  <si>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</si>
  <si>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</si>
  <si>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</si>
  <si>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</si>
  <si>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</si>
  <si>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</si>
  <si>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</si>
  <si>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</si>
  <si>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</si>
  <si>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</si>
  <si>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</si>
  <si>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</si>
  <si>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</si>
  <si>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</si>
  <si>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</si>
  <si>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</si>
  <si>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</si>
  <si>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</si>
  <si>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</si>
  <si>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</si>
  <si>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</si>
  <si>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</si>
  <si>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</si>
  <si>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</si>
  <si>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</si>
  <si>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</si>
  <si>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</si>
  <si>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</si>
  <si>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</si>
  <si>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</si>
  <si>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</si>
  <si>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</si>
  <si>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</si>
  <si>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</si>
  <si>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</si>
  <si>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</si>
  <si>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</si>
  <si>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</si>
  <si>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</si>
  <si>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</si>
  <si>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</si>
  <si>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</si>
  <si>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</si>
  <si>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</si>
  <si>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</si>
  <si>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</si>
  <si>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</si>
  <si>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</si>
  <si>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</si>
  <si>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</si>
  <si>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</si>
  <si>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</si>
  <si>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</si>
  <si>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</si>
  <si>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</si>
  <si>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</si>
  <si>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</si>
  <si>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</si>
  <si>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</si>
  <si>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</si>
  <si>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</si>
  <si>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</si>
  <si>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</si>
  <si>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</si>
  <si>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</si>
  <si>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</si>
  <si>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</si>
  <si>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</si>
  <si>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</si>
  <si>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</si>
  <si>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</si>
  <si>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</si>
  <si>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</si>
  <si>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</si>
  <si>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</si>
  <si>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</si>
  <si>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</si>
  <si>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</si>
  <si>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</si>
  <si>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</si>
  <si>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</si>
  <si>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</si>
  <si>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</si>
  <si>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</si>
  <si>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</si>
  <si>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</si>
  <si>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</si>
  <si>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</si>
  <si>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</si>
  <si>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</si>
  <si>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</si>
  <si>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</si>
  <si>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</si>
  <si>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</si>
  <si>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</si>
  <si>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</si>
  <si>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</si>
  <si>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</si>
  <si>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</si>
  <si>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</si>
  <si>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</si>
  <si>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</si>
  <si>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</si>
  <si>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</si>
  <si>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</si>
  <si>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</si>
  <si>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</si>
  <si>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</si>
  <si>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</si>
  <si>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</si>
  <si>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</si>
  <si>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</si>
  <si>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</si>
  <si>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</si>
  <si>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</si>
  <si>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</si>
  <si>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</si>
  <si>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</si>
  <si>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</si>
  <si>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</si>
  <si>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</si>
  <si>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</si>
  <si>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</si>
  <si>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</si>
  <si>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</si>
  <si>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</si>
  <si>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</si>
  <si>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</si>
  <si>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</si>
  <si>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</si>
  <si>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</si>
  <si>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</si>
  <si>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</si>
  <si>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</si>
  <si>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</si>
  <si>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</si>
  <si>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</si>
  <si>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</si>
  <si>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</si>
  <si>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</si>
  <si>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</si>
  <si>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</si>
  <si>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</si>
  <si>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</si>
  <si>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</si>
  <si>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</si>
  <si>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</si>
  <si>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</si>
  <si>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</si>
  <si>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</si>
  <si>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</si>
  <si>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</si>
  <si>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</si>
  <si>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</si>
  <si>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</si>
  <si>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</si>
  <si>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</si>
  <si>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</si>
  <si>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</si>
  <si>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</si>
  <si>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</si>
  <si>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</si>
  <si>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</si>
  <si>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</si>
  <si>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</si>
  <si>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</si>
  <si>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</si>
  <si>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</si>
  <si>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</si>
  <si>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</si>
  <si>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</si>
  <si>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</si>
  <si>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</si>
  <si>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</si>
  <si>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</si>
  <si>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</si>
  <si>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</si>
  <si>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</si>
  <si>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</si>
  <si>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</si>
  <si>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</si>
  <si>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</si>
  <si>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</si>
  <si>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</si>
  <si>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</si>
  <si>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</si>
  <si>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</si>
  <si>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</si>
  <si>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</si>
  <si>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</si>
  <si>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</si>
  <si>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</si>
  <si>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</si>
  <si>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</si>
  <si>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</si>
  <si>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</si>
  <si>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</si>
  <si>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</si>
  <si>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</si>
  <si>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</si>
  <si>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</si>
  <si>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</si>
  <si>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</si>
  <si>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</si>
  <si>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</si>
  <si>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</si>
  <si>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</si>
  <si>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</si>
  <si>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</si>
  <si>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</si>
  <si>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</si>
  <si>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</si>
  <si>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</si>
  <si>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</si>
  <si>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</si>
  <si>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</si>
  <si>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</si>
  <si>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</si>
  <si>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</si>
  <si>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</si>
  <si>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</si>
  <si>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</si>
  <si>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</si>
  <si>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</si>
  <si>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</si>
  <si>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</si>
  <si>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</si>
  <si>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</si>
  <si>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</si>
  <si>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</si>
  <si>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</si>
  <si>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</si>
  <si>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</si>
  <si>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</si>
  <si>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</si>
  <si>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</si>
  <si>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</si>
  <si>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</si>
  <si>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</si>
  <si>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</si>
  <si>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</si>
  <si>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</si>
  <si>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</si>
  <si>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</si>
  <si>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</si>
  <si>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</si>
  <si>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</si>
  <si>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</si>
  <si>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</si>
  <si>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</si>
  <si>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</si>
  <si>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</si>
  <si>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</si>
  <si>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</si>
  <si>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</si>
  <si>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</si>
  <si>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</si>
  <si>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</si>
  <si>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</si>
  <si>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</si>
  <si>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</si>
  <si>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</si>
  <si>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</si>
  <si>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</si>
  <si>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</si>
  <si>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</si>
  <si>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</si>
  <si>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</si>
  <si>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</si>
  <si>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</si>
  <si>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</si>
  <si>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</si>
  <si>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</si>
  <si>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</si>
  <si>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</si>
  <si>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</si>
  <si>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</si>
  <si>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</si>
  <si>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</si>
  <si>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</si>
  <si>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</si>
  <si>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</si>
  <si>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</si>
  <si>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</si>
  <si>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</si>
  <si>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</si>
  <si>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</si>
  <si>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</si>
  <si>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</si>
  <si>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</si>
  <si>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</si>
  <si>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</si>
  <si>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</si>
  <si>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</si>
  <si>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</si>
  <si>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</si>
  <si>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</si>
  <si>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</si>
  <si>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</si>
  <si>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</si>
  <si>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</si>
  <si>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</si>
  <si>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</si>
  <si>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</si>
  <si>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</si>
  <si>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</si>
  <si>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</si>
  <si>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</si>
  <si>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</si>
  <si>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</si>
  <si>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</si>
  <si>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</si>
  <si>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</si>
  <si>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</si>
  <si>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</si>
  <si>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</si>
  <si>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</si>
  <si>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</si>
  <si>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</si>
  <si>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</si>
  <si>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</si>
  <si>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</si>
  <si>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</si>
  <si>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</si>
  <si>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</si>
  <si>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</si>
  <si>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</si>
  <si>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</si>
  <si>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</si>
  <si>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</si>
  <si>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</si>
  <si>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</si>
  <si>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</si>
  <si>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</si>
  <si>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</si>
  <si>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</si>
  <si>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</si>
  <si>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</si>
  <si>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</si>
  <si>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</si>
  <si>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</si>
  <si>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</si>
  <si>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</si>
  <si>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</si>
  <si>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</si>
  <si>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</si>
  <si>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</si>
  <si>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</si>
  <si>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</si>
  <si>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</si>
  <si>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</si>
  <si>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</si>
  <si>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</si>
  <si>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</si>
  <si>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</si>
  <si>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</si>
  <si>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</si>
  <si>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</si>
  <si>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</si>
  <si>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</si>
  <si>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</si>
  <si>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</si>
  <si>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</si>
  <si>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</si>
  <si>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</si>
  <si>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</si>
  <si>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</si>
  <si>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</si>
  <si>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</si>
  <si>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</si>
  <si>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</si>
  <si>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</si>
  <si>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</si>
  <si>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</si>
  <si>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</si>
  <si>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</si>
  <si>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</si>
  <si>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</si>
  <si>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</si>
  <si>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</si>
  <si>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</si>
  <si>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</si>
  <si>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</si>
  <si>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</si>
  <si>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</si>
  <si>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</si>
  <si>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</si>
  <si>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</si>
  <si>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</si>
  <si>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</si>
  <si>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</si>
  <si>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</si>
  <si>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</si>
  <si>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</si>
  <si>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</si>
  <si>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</si>
  <si>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</si>
  <si>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</si>
  <si>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</si>
  <si>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</si>
  <si>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</si>
  <si>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</si>
  <si>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</si>
  <si>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</si>
  <si>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</si>
  <si>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</si>
  <si>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</si>
  <si>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</si>
  <si>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</si>
  <si>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</si>
  <si>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</si>
  <si>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</si>
  <si>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</si>
  <si>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</si>
  <si>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</si>
  <si>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</si>
  <si>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</si>
  <si>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</si>
  <si>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</si>
  <si>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</si>
  <si>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</si>
  <si>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</si>
  <si>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</si>
  <si>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</si>
  <si>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</si>
  <si>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</si>
  <si>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</si>
  <si>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</si>
  <si>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</si>
  <si>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</si>
  <si>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</si>
  <si>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</si>
  <si>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</si>
  <si>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</si>
  <si>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</si>
  <si>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</si>
  <si>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</si>
  <si>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</si>
  <si>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</si>
  <si>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</si>
  <si>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</si>
  <si>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</si>
  <si>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</si>
  <si>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</si>
  <si>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</si>
  <si>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</si>
  <si>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</si>
  <si>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</si>
  <si>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</si>
  <si>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</si>
  <si>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</si>
  <si>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</si>
  <si>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</si>
  <si>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</si>
  <si>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</si>
  <si>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</si>
  <si>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</si>
  <si>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</si>
  <si>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</si>
  <si>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</si>
  <si>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</si>
  <si>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</si>
  <si>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</si>
  <si>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</si>
  <si>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</si>
  <si>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</si>
  <si>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</si>
  <si>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</si>
  <si>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</si>
  <si>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</si>
  <si>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</si>
  <si>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</si>
  <si>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</si>
  <si>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</si>
  <si>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</si>
  <si>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</si>
  <si>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</si>
  <si>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</si>
  <si>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</si>
  <si>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</si>
  <si>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</si>
  <si>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</si>
  <si>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</si>
  <si>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</si>
  <si>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</si>
  <si>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</si>
  <si>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</si>
  <si>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</si>
  <si>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</si>
  <si>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</si>
  <si>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</si>
  <si>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</si>
  <si>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</si>
  <si>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</si>
  <si>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</si>
  <si>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</si>
  <si>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</si>
  <si>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</si>
  <si>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</si>
  <si>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</si>
  <si>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</si>
  <si>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</si>
  <si>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</si>
  <si>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</si>
  <si>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</si>
  <si>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</si>
  <si>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</si>
  <si>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</si>
  <si>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</si>
  <si>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</si>
  <si>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</si>
  <si>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</si>
  <si>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</si>
  <si>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</si>
  <si>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</si>
  <si>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</si>
  <si>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</si>
  <si>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</si>
  <si>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</si>
  <si>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</si>
  <si>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</si>
  <si>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</si>
  <si>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</si>
  <si>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</si>
  <si>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</si>
  <si>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</si>
  <si>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</si>
  <si>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</si>
  <si>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</si>
  <si>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</si>
  <si>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</si>
  <si>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</si>
  <si>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</si>
  <si>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</si>
  <si>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</si>
  <si>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</si>
  <si>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</si>
  <si>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</si>
  <si>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</si>
  <si>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</si>
  <si>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</si>
  <si>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</si>
  <si>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</si>
  <si>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</si>
  <si>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</si>
  <si>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</si>
  <si>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</si>
  <si>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</si>
  <si>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</si>
  <si>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</si>
  <si>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</si>
  <si>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</si>
  <si>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</si>
  <si>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</si>
  <si>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</si>
  <si>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</si>
  <si>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</si>
  <si>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</si>
  <si>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</si>
  <si>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</si>
  <si>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</si>
  <si>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</si>
  <si>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</si>
  <si>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</si>
  <si>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</si>
  <si>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</si>
  <si>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</si>
  <si>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</si>
  <si>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</si>
  <si>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</si>
  <si>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</si>
  <si>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</si>
  <si>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</si>
  <si>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</si>
  <si>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</si>
  <si>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</si>
  <si>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</si>
  <si>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</si>
  <si>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</si>
  <si>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</si>
  <si>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</si>
  <si>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</si>
  <si>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</si>
  <si>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</si>
  <si>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</si>
  <si>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</si>
  <si>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</si>
  <si>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</si>
  <si>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</si>
  <si>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</si>
  <si>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</si>
  <si>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</si>
  <si>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</si>
  <si>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</si>
  <si>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</si>
  <si>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</si>
  <si>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</si>
  <si>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</si>
  <si>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</si>
  <si>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</si>
  <si>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</si>
  <si>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</si>
  <si>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</si>
  <si>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</si>
  <si>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</si>
  <si>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</si>
  <si>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</si>
  <si>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</si>
  <si>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</si>
  <si>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</si>
  <si>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</si>
  <si>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</si>
  <si>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</si>
  <si>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</si>
  <si>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</si>
  <si>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</si>
  <si>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</si>
  <si>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</si>
  <si>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</si>
  <si>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</si>
  <si>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</si>
  <si>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</si>
  <si>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</si>
  <si>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</si>
  <si>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</si>
  <si>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</si>
  <si>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</si>
  <si>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</si>
  <si>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</si>
  <si>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</si>
  <si>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</si>
  <si>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</si>
  <si>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</si>
  <si>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</si>
  <si>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</si>
  <si>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</si>
  <si>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</si>
  <si>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</si>
  <si>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</si>
  <si>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</si>
  <si>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</si>
  <si>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</si>
  <si>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</si>
  <si>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</si>
  <si>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</si>
  <si>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</si>
  <si>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</si>
  <si>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</si>
  <si>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</si>
  <si>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</si>
  <si>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</si>
  <si>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</si>
  <si>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</si>
  <si>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</si>
  <si>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</si>
  <si>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</si>
  <si>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</si>
  <si>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</si>
  <si>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</si>
  <si>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</si>
  <si>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</si>
  <si>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</si>
  <si>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</si>
  <si>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</si>
  <si>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</si>
  <si>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</si>
  <si>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</si>
  <si>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</si>
  <si>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</si>
  <si>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</si>
  <si>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</si>
  <si>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</si>
  <si>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</si>
  <si>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</si>
  <si>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</si>
  <si>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</si>
  <si>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</si>
  <si>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</si>
  <si>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</si>
  <si>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</si>
  <si>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</si>
  <si>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</si>
  <si>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</si>
  <si>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</si>
  <si>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</si>
  <si>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</si>
  <si>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</si>
  <si>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</si>
  <si>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</si>
  <si>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</si>
  <si>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</si>
  <si>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</si>
  <si>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</si>
  <si>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</si>
  <si>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</si>
  <si>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</si>
  <si>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</si>
  <si>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</si>
  <si>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</si>
  <si>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</si>
  <si>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</si>
  <si>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</si>
  <si>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</si>
  <si>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</si>
  <si>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</si>
  <si>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</si>
  <si>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</si>
  <si>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</si>
  <si>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</si>
  <si>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</si>
  <si>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</si>
  <si>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</si>
  <si>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</si>
  <si>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</si>
  <si>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</si>
  <si>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</si>
  <si>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</si>
  <si>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</si>
  <si>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</si>
  <si>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</si>
  <si>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</si>
  <si>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</si>
  <si>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</si>
  <si>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</si>
  <si>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</si>
  <si>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</si>
  <si>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</si>
  <si>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</si>
  <si>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</si>
  <si>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</si>
  <si>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</si>
  <si>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</si>
  <si>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</si>
  <si>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</si>
  <si>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</si>
  <si>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</si>
  <si>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</si>
  <si>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</si>
  <si>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</si>
  <si>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</si>
  <si>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</si>
  <si>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</si>
  <si>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</si>
  <si>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</si>
  <si>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</si>
  <si>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</si>
  <si>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</si>
  <si>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</si>
  <si>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</si>
  <si>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</si>
  <si>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</si>
  <si>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</si>
  <si>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</si>
  <si>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</si>
  <si>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</si>
  <si>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</si>
  <si>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</si>
  <si>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</si>
  <si>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</si>
  <si>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</si>
  <si>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</si>
  <si>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</si>
  <si>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</si>
  <si>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</si>
  <si>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</si>
  <si>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</si>
  <si>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</si>
  <si>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</si>
  <si>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</si>
  <si>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</si>
  <si>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</si>
  <si>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</si>
  <si>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</si>
  <si>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</si>
  <si>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</si>
  <si>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</si>
  <si>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</si>
  <si>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</si>
  <si>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</si>
  <si>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</si>
  <si>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</si>
  <si>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</si>
  <si>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</si>
  <si>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</si>
  <si>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</si>
  <si>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</si>
  <si>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</si>
  <si>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</si>
  <si>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</si>
  <si>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</si>
  <si>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</si>
  <si>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</si>
  <si>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</si>
  <si>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</si>
  <si>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</si>
  <si>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</si>
  <si>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</si>
  <si>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</si>
  <si>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</si>
  <si>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</si>
  <si>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</si>
  <si>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</si>
  <si>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</si>
  <si>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</si>
  <si>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</si>
  <si>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</si>
  <si>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</si>
  <si>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</si>
  <si>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</si>
  <si>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</si>
  <si>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</si>
  <si>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</si>
  <si>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</si>
  <si>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</si>
  <si>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</si>
  <si>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</si>
  <si>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</si>
  <si>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</si>
  <si>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</si>
  <si>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</si>
  <si>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</si>
  <si>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</si>
  <si>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</si>
  <si>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</si>
  <si>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</si>
  <si>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</si>
  <si>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</si>
  <si>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</si>
  <si>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</si>
  <si>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</si>
  <si>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</si>
  <si>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</si>
  <si>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</si>
  <si>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</si>
  <si>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</si>
  <si>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</si>
  <si>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</si>
  <si>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</si>
  <si>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</si>
  <si>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</si>
  <si>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</si>
  <si>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</si>
  <si>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</si>
  <si>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</si>
  <si>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</si>
  <si>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</si>
  <si>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</si>
  <si>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</si>
  <si>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</si>
  <si>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</si>
  <si>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</si>
  <si>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</si>
  <si>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</si>
  <si>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</si>
  <si>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</si>
  <si>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</si>
  <si>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</si>
  <si>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</si>
  <si>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</si>
  <si>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</si>
  <si>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</si>
  <si>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</si>
  <si>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</si>
  <si>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</si>
  <si>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</si>
  <si>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</si>
  <si>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</si>
  <si>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</si>
  <si>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</si>
  <si>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</si>
  <si>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</si>
  <si>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</si>
  <si>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</si>
  <si>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</si>
  <si>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</si>
  <si>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</si>
  <si>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</si>
  <si>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</si>
  <si>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</si>
  <si>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</si>
  <si>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</si>
  <si>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</si>
  <si>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</si>
  <si>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</si>
  <si>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</si>
  <si>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</si>
  <si>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</si>
  <si>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</si>
  <si>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</si>
  <si>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</si>
  <si>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</si>
  <si>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</si>
  <si>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</si>
  <si>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</si>
  <si>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</si>
  <si>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</si>
  <si>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</si>
  <si>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</si>
  <si>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</si>
  <si>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</si>
  <si>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</si>
  <si>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</si>
  <si>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</si>
  <si>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</si>
  <si>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</si>
  <si>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</si>
  <si>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</si>
  <si>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</si>
  <si>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</si>
  <si>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</si>
  <si>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</si>
  <si>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</si>
  <si>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</si>
  <si>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</si>
  <si>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</si>
  <si>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</si>
  <si>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</si>
  <si>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</si>
  <si>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</si>
  <si>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</si>
  <si>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</si>
  <si>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</si>
  <si>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</si>
  <si>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</si>
  <si>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</si>
  <si>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</si>
  <si>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</si>
  <si>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</si>
  <si>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</si>
  <si>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</si>
  <si>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</si>
  <si>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</si>
  <si>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</si>
  <si>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</si>
  <si>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</si>
  <si>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</si>
  <si>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</si>
  <si>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</si>
  <si>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</si>
  <si>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</si>
  <si>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</si>
  <si>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</si>
  <si>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</si>
  <si>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</si>
  <si>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</si>
  <si>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</si>
  <si>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</si>
  <si>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</si>
  <si>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</si>
  <si>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</si>
  <si>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</si>
  <si>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</si>
  <si>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</si>
  <si>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</si>
  <si>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</si>
  <si>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</si>
  <si>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</si>
  <si>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</si>
  <si>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</si>
  <si>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</si>
  <si>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</si>
  <si>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</si>
  <si>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</si>
  <si>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</si>
  <si>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</si>
  <si>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</si>
  <si>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</si>
  <si>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</si>
  <si>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</si>
  <si>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</si>
  <si>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</si>
  <si>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</si>
  <si>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</si>
  <si>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</si>
  <si>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</si>
  <si>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</si>
  <si>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</si>
  <si>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</si>
  <si>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</si>
  <si>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</si>
  <si>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</si>
  <si>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</si>
  <si>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</si>
  <si>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</si>
  <si>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</si>
  <si>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</si>
  <si>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</si>
  <si>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</si>
  <si>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</si>
  <si>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</si>
  <si>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</si>
  <si>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</si>
  <si>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</si>
  <si>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</si>
  <si>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</si>
  <si>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</si>
  <si>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</si>
  <si>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</si>
  <si>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</si>
  <si>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</si>
  <si>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</si>
  <si>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</si>
  <si>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</si>
  <si>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</si>
  <si>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</si>
  <si>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</si>
  <si>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</si>
  <si>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</si>
  <si>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</si>
  <si>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</si>
  <si>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</si>
  <si>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</si>
  <si>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</si>
  <si>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</si>
  <si>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</si>
  <si>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</si>
  <si>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</si>
  <si>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</si>
  <si>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</si>
  <si>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</si>
  <si>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</si>
  <si>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</si>
  <si>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</si>
  <si>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</si>
  <si>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</si>
  <si>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</si>
  <si>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</si>
  <si>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</si>
  <si>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</si>
  <si>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</si>
  <si>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</si>
  <si>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</si>
  <si>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</si>
  <si>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</si>
  <si>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</si>
  <si>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</si>
  <si>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</si>
  <si>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</si>
  <si>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</si>
  <si>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</si>
  <si>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</si>
  <si>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</si>
  <si>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</si>
  <si>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</si>
  <si>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</si>
  <si>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</si>
  <si>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</si>
  <si>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</si>
  <si>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</si>
  <si>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</si>
  <si>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</si>
  <si>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</si>
  <si>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</si>
  <si>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</si>
  <si>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</si>
  <si>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</si>
  <si>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</si>
  <si>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</si>
  <si>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</si>
  <si>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</si>
  <si>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</si>
  <si>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</si>
  <si>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</si>
  <si>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</si>
  <si>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</si>
  <si>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</si>
  <si>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</si>
  <si>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</si>
  <si>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</si>
  <si>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</si>
  <si>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</si>
  <si>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</si>
  <si>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</si>
  <si>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</si>
  <si>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</si>
  <si>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</si>
  <si>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</si>
  <si>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</si>
  <si>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</si>
  <si>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</si>
  <si>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</si>
  <si>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</si>
  <si>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</si>
  <si>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</si>
  <si>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</si>
  <si>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</si>
  <si>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</si>
  <si>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</si>
  <si>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</si>
  <si>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</si>
  <si>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</si>
  <si>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</si>
  <si>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</si>
  <si>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</si>
  <si>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</si>
  <si>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</si>
  <si>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</si>
  <si>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</si>
  <si>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</si>
  <si>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</si>
  <si>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</si>
  <si>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</si>
  <si>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</si>
  <si>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</si>
  <si>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</si>
  <si>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</si>
  <si>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</si>
  <si>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</si>
  <si>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</si>
  <si>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</si>
  <si>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</si>
  <si>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</si>
  <si>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</si>
  <si>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</si>
  <si>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</si>
  <si>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</si>
  <si>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</si>
  <si>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</si>
  <si>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</si>
  <si>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</si>
  <si>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</si>
  <si>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</si>
  <si>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</si>
  <si>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</si>
  <si>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</si>
  <si>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</si>
  <si>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</si>
  <si>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</si>
  <si>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</si>
  <si>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</si>
  <si>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</si>
  <si>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</si>
  <si>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</si>
  <si>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</si>
  <si>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</si>
  <si>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</si>
  <si>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</si>
  <si>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</si>
  <si>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</si>
  <si>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</si>
  <si>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</si>
  <si>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</si>
  <si>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</si>
  <si>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</si>
  <si>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</si>
  <si>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</si>
  <si>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</si>
  <si>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</si>
  <si>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</si>
  <si>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</si>
  <si>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</si>
  <si>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</si>
  <si>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</si>
  <si>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</si>
  <si>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</si>
  <si>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</si>
  <si>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</si>
  <si>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</si>
  <si>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</si>
  <si>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</si>
  <si>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</si>
  <si>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</si>
  <si>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</si>
  <si>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</si>
  <si>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</si>
  <si>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</si>
  <si>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</si>
  <si>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</si>
  <si>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</si>
  <si>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</si>
  <si>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</si>
  <si>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</si>
  <si>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</si>
  <si>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</si>
  <si>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</si>
  <si>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</si>
  <si>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</si>
  <si>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</si>
  <si>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</si>
  <si>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</si>
  <si>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</si>
  <si>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</si>
  <si>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</si>
  <si>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</si>
  <si>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</si>
  <si>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</si>
  <si>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</si>
  <si>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</si>
  <si>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</si>
  <si>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</si>
  <si>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</si>
  <si>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</si>
  <si>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</si>
  <si>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</si>
  <si>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</si>
  <si>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</si>
  <si>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</si>
  <si>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</si>
  <si>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</si>
  <si>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</si>
  <si>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</si>
  <si>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</si>
  <si>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</si>
  <si>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</si>
  <si>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</si>
  <si>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</si>
  <si>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</si>
  <si>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</si>
  <si>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</si>
  <si>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</si>
  <si>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</si>
  <si>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</si>
  <si>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</si>
  <si>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</si>
  <si>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</si>
  <si>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</si>
  <si>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</si>
  <si>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</si>
  <si>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</si>
  <si>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</si>
  <si>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</si>
  <si>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</si>
  <si>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</si>
  <si>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</si>
  <si>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</si>
  <si>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</si>
  <si>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</si>
  <si>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</si>
  <si>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</si>
  <si>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</si>
  <si>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</si>
  <si>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</si>
  <si>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</si>
  <si>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</si>
  <si>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</si>
  <si>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</si>
  <si>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</si>
  <si>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</si>
  <si>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</si>
  <si>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</si>
  <si>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</si>
  <si>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</si>
  <si>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</si>
  <si>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</si>
  <si>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</si>
  <si>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</si>
  <si>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</si>
  <si>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</si>
  <si>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</si>
  <si>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</si>
  <si>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</si>
  <si>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</si>
  <si>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</si>
  <si>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</si>
  <si>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</si>
  <si>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</si>
  <si>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</si>
  <si>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</si>
  <si>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</si>
  <si>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</si>
  <si>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</si>
  <si>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</si>
  <si>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</si>
  <si>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</si>
  <si>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</si>
  <si>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</si>
  <si>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</si>
  <si>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</si>
  <si>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</si>
  <si>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</si>
  <si>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</si>
  <si>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</si>
  <si>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</si>
  <si>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</si>
  <si>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</si>
  <si>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</si>
  <si>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</si>
  <si>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</si>
  <si>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</si>
  <si>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</si>
  <si>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</si>
  <si>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</si>
  <si>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</si>
  <si>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</si>
  <si>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</si>
  <si>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</si>
  <si>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</si>
  <si>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</si>
  <si>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</si>
  <si>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</si>
  <si>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</si>
  <si>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</si>
  <si>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</si>
  <si>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</si>
  <si>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</si>
  <si>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</si>
  <si>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</si>
  <si>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</si>
  <si>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</si>
  <si>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</si>
  <si>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</si>
  <si>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</si>
  <si>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</si>
  <si>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</si>
  <si>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</si>
  <si>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</si>
  <si>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</si>
  <si>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</si>
  <si>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</si>
  <si>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</si>
  <si>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</si>
  <si>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</si>
  <si>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</si>
  <si>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</si>
  <si>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</si>
  <si>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</si>
  <si>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</si>
  <si>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</si>
  <si>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</si>
  <si>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</si>
  <si>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</si>
  <si>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</si>
  <si>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</si>
  <si>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</si>
  <si>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</si>
  <si>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</si>
  <si>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</si>
  <si>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</si>
  <si>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</si>
  <si>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</si>
  <si>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</si>
  <si>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</si>
  <si>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</si>
  <si>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</si>
  <si>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</si>
  <si>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</si>
  <si>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</si>
  <si>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</si>
  <si>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</si>
  <si>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</si>
  <si>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</si>
  <si>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</si>
  <si>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</si>
  <si>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</si>
  <si>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</si>
  <si>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</si>
  <si>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</si>
  <si>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</si>
  <si>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</si>
  <si>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</si>
  <si>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</si>
  <si>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</si>
  <si>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</si>
  <si>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</si>
  <si>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</si>
  <si>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</si>
  <si>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</si>
  <si>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</si>
  <si>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</si>
  <si>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</si>
  <si>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</si>
  <si>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</si>
  <si>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</si>
  <si>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</si>
  <si>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</si>
  <si>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</si>
  <si>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</si>
  <si>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</si>
  <si>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</si>
  <si>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</si>
  <si>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</si>
  <si>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</si>
  <si>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</si>
  <si>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</si>
  <si>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</si>
  <si>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</si>
  <si>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</si>
  <si>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</si>
  <si>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</si>
  <si>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</si>
  <si>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</si>
  <si>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</si>
  <si>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</si>
  <si>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</si>
  <si>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</si>
  <si>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</si>
  <si>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</si>
  <si>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</si>
  <si>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</si>
  <si>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</si>
  <si>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</si>
  <si>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</si>
  <si>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</si>
  <si>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</si>
  <si>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</si>
  <si>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</si>
  <si>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</si>
  <si>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</si>
  <si>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</si>
  <si>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</si>
  <si>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</si>
  <si>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</si>
  <si>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</si>
  <si>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</si>
  <si>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</si>
  <si>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</si>
  <si>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</si>
  <si>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</si>
  <si>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</si>
  <si>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</si>
  <si>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</si>
  <si>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</si>
  <si>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</si>
  <si>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</si>
  <si>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</si>
  <si>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</si>
  <si>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</si>
  <si>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</si>
  <si>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</si>
  <si>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</si>
  <si>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</si>
  <si>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</si>
  <si>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</si>
  <si>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</si>
  <si>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</si>
  <si>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</si>
  <si>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</si>
  <si>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</si>
  <si>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</si>
  <si>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</si>
  <si>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</si>
  <si>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</si>
  <si>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</si>
  <si>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</si>
  <si>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</si>
  <si>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</si>
  <si>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</si>
  <si>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</si>
  <si>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</si>
  <si>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</si>
  <si>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</si>
  <si>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</si>
  <si>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</si>
  <si>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</si>
  <si>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</si>
  <si>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</si>
  <si>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</si>
  <si>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</si>
  <si>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</si>
  <si>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</si>
  <si>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</si>
  <si>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</si>
  <si>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</si>
  <si>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</si>
  <si>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</si>
  <si>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</si>
  <si>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</si>
  <si>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</si>
  <si>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</si>
  <si>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</si>
  <si>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</si>
  <si>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</si>
  <si>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</si>
  <si>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</si>
  <si>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</si>
  <si>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</si>
  <si>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</si>
  <si>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</si>
  <si>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</si>
  <si>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</si>
  <si>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</si>
  <si>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</si>
  <si>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</si>
  <si>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</si>
  <si>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</si>
  <si>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</si>
  <si>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</si>
  <si>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</si>
  <si>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</si>
  <si>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</si>
  <si>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</si>
  <si>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</si>
  <si>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</si>
  <si>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</si>
  <si>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</si>
  <si>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</si>
  <si>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</si>
  <si>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</si>
  <si>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</si>
  <si>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</si>
  <si>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</si>
  <si>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</si>
  <si>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</si>
  <si>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</si>
  <si>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</si>
  <si>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</si>
  <si>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</si>
  <si>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</si>
  <si>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</si>
  <si>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</si>
  <si>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</si>
  <si>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</si>
  <si>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</si>
  <si>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</si>
  <si>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</si>
  <si>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</si>
  <si>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</si>
  <si>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</si>
  <si>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</si>
  <si>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</si>
  <si>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</si>
  <si>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</si>
  <si>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</si>
  <si>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</si>
  <si>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</si>
  <si>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</si>
  <si>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</si>
  <si>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</si>
  <si>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</si>
  <si>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</si>
  <si>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</si>
  <si>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</si>
  <si>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</si>
  <si>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</si>
  <si>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</si>
  <si>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</si>
  <si>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</si>
  <si>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</si>
  <si>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</si>
  <si>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</si>
  <si>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</si>
  <si>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</si>
  <si>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</si>
  <si>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</si>
  <si>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</si>
  <si>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</si>
  <si>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</si>
  <si>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</si>
  <si>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</si>
  <si>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</si>
  <si>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</si>
  <si>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</si>
  <si>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</si>
  <si>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</si>
  <si>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</si>
  <si>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</si>
  <si>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</si>
  <si>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</si>
  <si>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</si>
  <si>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</si>
  <si>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</si>
  <si>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</si>
  <si>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</si>
  <si>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</si>
  <si>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</si>
  <si>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</si>
  <si>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</si>
  <si>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</si>
  <si>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</si>
  <si>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</si>
  <si>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</si>
  <si>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</si>
  <si>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</si>
  <si>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</si>
  <si>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</si>
  <si>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</si>
  <si>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</si>
  <si>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</si>
  <si>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</si>
  <si>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</si>
  <si>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</si>
  <si>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</si>
  <si>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</si>
  <si>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</si>
  <si>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</si>
  <si>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</si>
  <si>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</si>
  <si>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</si>
  <si>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</si>
  <si>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</si>
  <si>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</si>
  <si>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</si>
  <si>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</si>
  <si>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</si>
  <si>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</si>
  <si>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</si>
  <si>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</si>
  <si>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</si>
  <si>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</si>
  <si>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</si>
  <si>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</si>
  <si>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</si>
  <si>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</si>
  <si>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</si>
  <si>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</si>
  <si>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</si>
  <si>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</si>
  <si>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</si>
  <si>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</si>
  <si>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</si>
  <si>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</si>
  <si>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</si>
  <si>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</si>
  <si>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</si>
  <si>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</si>
  <si>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</si>
  <si>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</si>
  <si>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</si>
  <si>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</si>
  <si>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</si>
  <si>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</si>
  <si>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</si>
  <si>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</si>
  <si>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</si>
  <si>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</si>
  <si>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</si>
  <si>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</si>
  <si>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</si>
  <si>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</si>
  <si>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</si>
  <si>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</si>
  <si>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</si>
  <si>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</si>
  <si>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</si>
  <si>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</si>
  <si>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</si>
  <si>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</si>
  <si>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</si>
  <si>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</si>
  <si>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</si>
  <si>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</si>
  <si>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</si>
  <si>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</si>
  <si>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</si>
  <si>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</si>
  <si>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</si>
  <si>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</si>
  <si>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</si>
  <si>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</si>
  <si>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</si>
  <si>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</si>
  <si>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</si>
  <si>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</si>
  <si>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</si>
  <si>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</si>
  <si>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</si>
  <si>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</si>
  <si>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</si>
  <si>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</si>
  <si>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</si>
  <si>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</si>
  <si>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</si>
  <si>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</si>
  <si>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</si>
  <si>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</si>
  <si>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</si>
  <si>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</si>
  <si>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</si>
  <si>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</si>
  <si>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</si>
  <si>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</si>
  <si>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</si>
  <si>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</si>
  <si>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</si>
  <si>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</si>
  <si>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</si>
  <si>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</si>
  <si>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</si>
  <si>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</si>
  <si>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</si>
  <si>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</si>
  <si>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</si>
  <si>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</si>
  <si>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</si>
  <si>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</si>
  <si>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</si>
  <si>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</si>
  <si>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</si>
  <si>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</si>
  <si>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</si>
  <si>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</si>
  <si>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</si>
  <si>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</si>
  <si>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</si>
  <si>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</si>
  <si>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</si>
  <si>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</si>
  <si>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</si>
  <si>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</si>
  <si>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</si>
  <si>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</si>
  <si>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</si>
  <si>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</si>
  <si>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</si>
  <si>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</si>
  <si>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</si>
  <si>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</si>
  <si>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</si>
  <si>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</si>
  <si>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</si>
  <si>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</si>
  <si>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</si>
  <si>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</si>
  <si>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</si>
  <si>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</si>
  <si>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</si>
  <si>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</si>
  <si>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</si>
  <si>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</si>
  <si>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</si>
  <si>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</si>
  <si>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</si>
  <si>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</si>
  <si>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</si>
  <si>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</si>
  <si>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</si>
  <si>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</si>
  <si>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</si>
  <si>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</si>
  <si>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</si>
  <si>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</si>
  <si>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</si>
  <si>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</si>
  <si>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</si>
  <si>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</si>
  <si>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</si>
  <si>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</si>
  <si>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</si>
  <si>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</si>
  <si>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</si>
  <si>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</si>
  <si>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</si>
  <si>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</si>
  <si>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</si>
  <si>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</si>
  <si>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</si>
  <si>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</si>
  <si>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</si>
  <si>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</si>
  <si>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</si>
  <si>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</si>
  <si>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</si>
  <si>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</si>
  <si>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</si>
  <si>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</si>
  <si>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</si>
  <si>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</si>
  <si>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</si>
  <si>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</si>
  <si>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</si>
  <si>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</si>
  <si>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</si>
  <si>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</si>
  <si>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</si>
  <si>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</si>
  <si>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</si>
  <si>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</si>
  <si>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</si>
  <si>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</si>
  <si>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</si>
  <si>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</si>
  <si>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</si>
  <si>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</si>
  <si>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</si>
  <si>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</si>
  <si>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</si>
  <si>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</si>
  <si>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</si>
  <si>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</si>
  <si>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</si>
  <si>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</si>
  <si>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</si>
  <si>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</si>
  <si>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</si>
  <si>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</si>
  <si>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</si>
  <si>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</si>
  <si>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</si>
  <si>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</si>
  <si>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</si>
  <si>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</si>
  <si>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</si>
  <si>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</si>
  <si>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</si>
  <si>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</si>
  <si>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</si>
  <si>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</si>
  <si>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</si>
  <si>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</si>
  <si>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</si>
  <si>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</si>
  <si>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</si>
  <si>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</si>
  <si>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</si>
  <si>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</si>
  <si>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</si>
  <si>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</si>
  <si>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</si>
  <si>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</si>
  <si>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</si>
  <si>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</si>
  <si>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</si>
  <si>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</si>
  <si>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</si>
  <si>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</si>
  <si>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</si>
  <si>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</si>
  <si>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</si>
  <si>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</si>
  <si>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</si>
  <si>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</si>
  <si>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</si>
  <si>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</si>
  <si>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</si>
  <si>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</si>
  <si>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</si>
  <si>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</si>
  <si>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</si>
  <si>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</si>
  <si>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</si>
  <si>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</si>
  <si>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</si>
  <si>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</si>
  <si>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</si>
  <si>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</si>
  <si>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</si>
  <si>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</si>
  <si>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</si>
  <si>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</si>
  <si>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</si>
  <si>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</si>
  <si>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</si>
  <si>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</si>
  <si>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</si>
  <si>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</si>
  <si>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</si>
  <si>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</si>
  <si>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</si>
  <si>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</si>
  <si>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</si>
  <si>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</si>
  <si>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</si>
  <si>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</si>
  <si>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</si>
  <si>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</si>
  <si>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</si>
  <si>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</si>
  <si>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</si>
  <si>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</si>
  <si>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</si>
  <si>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</si>
  <si>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</si>
  <si>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</si>
  <si>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</si>
  <si>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</si>
  <si>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</si>
  <si>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</si>
  <si>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</si>
  <si>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</si>
  <si>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</si>
  <si>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</si>
  <si>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</si>
  <si>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</si>
  <si>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</si>
  <si>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</si>
  <si>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</si>
  <si>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</si>
  <si>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</si>
  <si>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</si>
  <si>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</si>
  <si>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</si>
  <si>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</si>
  <si>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</si>
  <si>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</si>
  <si>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</si>
  <si>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</si>
  <si>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</si>
  <si>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</si>
  <si>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</si>
  <si>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</si>
  <si>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</si>
  <si>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</si>
  <si>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</si>
  <si>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</si>
  <si>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</si>
  <si>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</si>
  <si>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</si>
  <si>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</si>
  <si>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</si>
  <si>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</si>
  <si>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</si>
  <si>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</si>
  <si>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</si>
  <si>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</si>
  <si>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</si>
  <si>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</si>
  <si>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</si>
  <si>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</si>
  <si>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</si>
  <si>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</si>
  <si>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</si>
  <si>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</si>
  <si>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</si>
  <si>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</si>
  <si>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</si>
  <si>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</si>
  <si>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</si>
  <si>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</si>
  <si>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</si>
  <si>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</si>
  <si>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</si>
  <si>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</si>
  <si>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</si>
  <si>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</si>
  <si>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</si>
  <si>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</si>
  <si>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</si>
  <si>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</si>
  <si>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</si>
  <si>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</si>
  <si>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</si>
  <si>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</si>
  <si>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</si>
  <si>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</si>
  <si>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</si>
  <si>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</si>
  <si>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</si>
  <si>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</si>
  <si>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</si>
  <si>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</si>
  <si>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</si>
  <si>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</si>
  <si>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</si>
  <si>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</si>
  <si>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</si>
  <si>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</si>
  <si>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</si>
  <si>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</si>
  <si>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</si>
  <si>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</si>
  <si>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</si>
  <si>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</si>
  <si>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</si>
  <si>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</si>
  <si>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</si>
  <si>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</si>
  <si>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</si>
  <si>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</si>
  <si>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</si>
  <si>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</si>
  <si>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</si>
  <si>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</si>
  <si>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</si>
  <si>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</si>
  <si>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</si>
  <si>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</si>
  <si>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</si>
  <si>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</si>
  <si>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</si>
  <si>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</si>
  <si>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</si>
  <si>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</si>
  <si>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</si>
  <si>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</si>
  <si>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</si>
  <si>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</si>
  <si>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</si>
  <si>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</si>
  <si>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</si>
  <si>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</si>
  <si>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</si>
  <si>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</si>
  <si>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</si>
  <si>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</si>
  <si>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</si>
  <si>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</si>
  <si>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</si>
  <si>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</si>
  <si>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</si>
  <si>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</si>
  <si>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</si>
  <si>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</si>
  <si>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</si>
  <si>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</si>
  <si>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</si>
  <si>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</si>
  <si>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</si>
  <si>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</si>
  <si>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</si>
  <si>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</si>
  <si>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</si>
  <si>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</si>
  <si>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</si>
  <si>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</si>
  <si>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</si>
  <si>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</si>
  <si>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</si>
  <si>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</si>
  <si>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</si>
  <si>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</si>
  <si>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</si>
  <si>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</si>
  <si>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</si>
  <si>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</si>
  <si>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</si>
  <si>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</si>
  <si>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</si>
  <si>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</si>
  <si>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</si>
  <si>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</si>
  <si>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</si>
  <si>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</si>
  <si>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</si>
  <si>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</si>
  <si>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</si>
  <si>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</si>
  <si>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</si>
  <si>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</si>
  <si>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</si>
  <si>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</si>
  <si>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</si>
  <si>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</si>
  <si>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</si>
  <si>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</si>
  <si>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</si>
  <si>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</si>
  <si>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</si>
  <si>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</si>
  <si>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</si>
  <si>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</si>
  <si>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</si>
  <si>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</si>
  <si>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</si>
  <si>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</si>
  <si>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</si>
  <si>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</si>
  <si>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</si>
  <si>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</si>
  <si>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</si>
  <si>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</si>
  <si>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</si>
  <si>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</si>
  <si>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</si>
  <si>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</si>
  <si>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</si>
  <si>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</si>
  <si>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</si>
  <si>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</si>
  <si>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</si>
  <si>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</si>
  <si>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</si>
  <si>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</si>
  <si>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</si>
  <si>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</si>
  <si>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</si>
  <si>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</si>
  <si>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</si>
  <si>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</si>
  <si>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</si>
  <si>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</si>
  <si>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</si>
  <si>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</si>
  <si>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</si>
  <si>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</si>
  <si>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</si>
  <si>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</si>
  <si>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</si>
  <si>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</si>
  <si>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</si>
  <si>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</si>
  <si>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</si>
  <si>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</si>
  <si>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</si>
  <si>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</si>
  <si>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</si>
  <si>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</si>
  <si>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</si>
  <si>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</si>
  <si>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</si>
  <si>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</si>
  <si>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</si>
  <si>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</si>
  <si>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</si>
  <si>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</si>
  <si>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</si>
  <si>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</si>
  <si>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</si>
  <si>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</si>
  <si>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</si>
  <si>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</si>
  <si>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</si>
  <si>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</si>
  <si>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</si>
  <si>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</si>
  <si>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</si>
  <si>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</si>
  <si>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</si>
  <si>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</si>
  <si>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</si>
  <si>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</si>
  <si>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</si>
  <si>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</si>
  <si>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</si>
  <si>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</si>
  <si>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</si>
  <si>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</si>
  <si>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</si>
  <si>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</si>
  <si>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</si>
  <si>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</si>
  <si>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</si>
  <si>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</si>
  <si>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</si>
  <si>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</si>
  <si>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</si>
  <si>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</si>
  <si>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</si>
  <si>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</si>
  <si>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</si>
  <si>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</si>
  <si>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</si>
  <si>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</si>
  <si>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</si>
  <si>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</si>
  <si>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</si>
  <si>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</si>
  <si>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</si>
  <si>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</si>
  <si>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</si>
  <si>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</si>
  <si>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</si>
  <si>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</si>
  <si>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</si>
  <si>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</si>
  <si>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</si>
  <si>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</si>
  <si>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</si>
  <si>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</si>
  <si>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</si>
  <si>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</si>
  <si>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</si>
  <si>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</si>
  <si>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</si>
  <si>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</si>
  <si>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</si>
  <si>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</si>
  <si>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</si>
  <si>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</si>
  <si>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</si>
  <si>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</si>
  <si>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</si>
  <si>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</si>
  <si>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</si>
  <si>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</si>
  <si>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</si>
  <si>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</si>
  <si>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</si>
  <si>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</si>
  <si>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</si>
  <si>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</si>
  <si>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</si>
  <si>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</si>
  <si>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</si>
  <si>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</si>
  <si>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</si>
  <si>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</si>
  <si>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</si>
  <si>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</si>
  <si>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</si>
  <si>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</si>
  <si>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</si>
  <si>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</si>
  <si>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</si>
  <si>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</si>
  <si>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</si>
  <si>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</si>
  <si>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</si>
  <si>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</si>
  <si>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</si>
  <si>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</si>
  <si>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</si>
  <si>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</si>
  <si>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</si>
  <si>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</si>
  <si>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</si>
  <si>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</si>
  <si>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</si>
  <si>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</si>
  <si>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</si>
  <si>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</si>
  <si>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</si>
  <si>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</si>
  <si>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</si>
  <si>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</si>
  <si>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</si>
  <si>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</si>
  <si>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</si>
  <si>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</si>
  <si>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</si>
  <si>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</si>
  <si>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</si>
  <si>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</si>
  <si>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</si>
  <si>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</si>
  <si>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</si>
  <si>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</si>
  <si>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</si>
  <si>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</si>
  <si>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</si>
  <si>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</si>
  <si>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</si>
  <si>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</si>
  <si>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</si>
  <si>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</si>
  <si>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</si>
  <si>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</si>
  <si>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</si>
  <si>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</si>
  <si>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</si>
  <si>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</si>
  <si>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</si>
  <si>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</si>
  <si>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</si>
  <si>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</si>
  <si>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</si>
  <si>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</si>
  <si>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</si>
  <si>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</si>
  <si>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</si>
  <si>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</si>
  <si>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</si>
  <si>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</si>
  <si>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</si>
  <si>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</si>
  <si>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</si>
  <si>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</si>
  <si>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</si>
  <si>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</si>
  <si>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</si>
  <si>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</si>
  <si>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</si>
  <si>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</si>
  <si>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</si>
  <si>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</si>
  <si>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</si>
  <si>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</si>
  <si>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</si>
  <si>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</si>
  <si>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</si>
  <si>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</si>
  <si>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</si>
  <si>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</si>
  <si>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</si>
  <si>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</si>
  <si>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</si>
  <si>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</si>
  <si>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</si>
  <si>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</si>
  <si>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</si>
  <si>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</si>
  <si>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</si>
  <si>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</si>
  <si>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</si>
  <si>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</si>
  <si>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</si>
  <si>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</si>
  <si>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</si>
  <si>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</si>
  <si>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</si>
  <si>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</si>
  <si>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</si>
  <si>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</si>
  <si>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</si>
  <si>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</si>
  <si>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</si>
  <si>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</si>
  <si>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</si>
  <si>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</si>
  <si>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</si>
  <si>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</si>
  <si>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</si>
  <si>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</si>
  <si>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</si>
  <si>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</si>
  <si>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</si>
  <si>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</si>
  <si>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</si>
  <si>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</si>
  <si>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</si>
  <si>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</si>
  <si>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</si>
  <si>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</si>
  <si>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</si>
  <si>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</si>
  <si>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</si>
  <si>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</si>
  <si>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</si>
  <si>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</si>
  <si>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</si>
  <si>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</si>
  <si>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</si>
  <si>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</si>
  <si>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</si>
  <si>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</si>
  <si>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</si>
  <si>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</si>
  <si>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</si>
  <si>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</si>
  <si>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</si>
  <si>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</si>
  <si>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</si>
  <si>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</si>
  <si>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</si>
  <si>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</si>
  <si>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</si>
  <si>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</si>
  <si>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</si>
  <si>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</si>
  <si>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</si>
  <si>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</si>
  <si>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</si>
  <si>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</si>
  <si>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</si>
  <si>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</si>
  <si>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</si>
  <si>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</si>
  <si>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</si>
  <si>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</si>
  <si>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</si>
  <si>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</si>
  <si>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</si>
  <si>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</si>
  <si>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</si>
  <si>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</si>
  <si>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</si>
  <si>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</si>
  <si>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</si>
  <si>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</si>
  <si>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</si>
  <si>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</si>
  <si>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</si>
  <si>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</si>
  <si>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</si>
  <si>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</si>
  <si>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</si>
  <si>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</si>
  <si>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</si>
  <si>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</si>
  <si>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</si>
  <si>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</si>
  <si>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</si>
  <si>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</si>
  <si>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</si>
  <si>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</si>
  <si>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</si>
  <si>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</si>
  <si>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</si>
  <si>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</si>
  <si>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</si>
  <si>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</si>
  <si>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</si>
  <si>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</si>
  <si>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</si>
  <si>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</si>
  <si>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</si>
  <si>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</si>
  <si>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</si>
  <si>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</si>
  <si>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</si>
  <si>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</si>
  <si>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</si>
  <si>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</si>
  <si>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</si>
  <si>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</si>
  <si>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</si>
  <si>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</si>
  <si>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</si>
  <si>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</si>
  <si>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</si>
  <si>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</si>
  <si>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</si>
  <si>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</si>
  <si>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</si>
  <si>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</si>
  <si>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</si>
  <si>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</si>
  <si>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</si>
  <si>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</si>
  <si>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</si>
  <si>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</si>
  <si>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</si>
  <si>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</si>
  <si>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</si>
  <si>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</si>
  <si>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</si>
  <si>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</si>
  <si>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</si>
  <si>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</si>
  <si>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</si>
  <si>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</si>
  <si>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</si>
  <si>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</si>
  <si>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</si>
  <si>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</si>
  <si>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</si>
  <si>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</si>
  <si>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</si>
  <si>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</si>
  <si>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</si>
  <si>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</si>
  <si>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</si>
  <si>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</si>
  <si>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</si>
  <si>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</si>
  <si>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</si>
  <si>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</si>
  <si>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</si>
  <si>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</si>
  <si>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</si>
  <si>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</si>
  <si>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</si>
  <si>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</si>
  <si>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</si>
  <si>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</si>
  <si>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</si>
  <si>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</si>
  <si>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</si>
  <si>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</si>
  <si>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</si>
  <si>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</si>
  <si>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</si>
  <si>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</si>
  <si>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</si>
  <si>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</si>
  <si>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</si>
  <si>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</si>
  <si>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</si>
  <si>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</si>
  <si>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</si>
  <si>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</si>
  <si>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</si>
  <si>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</si>
  <si>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</si>
  <si>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</si>
  <si>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</si>
  <si>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</si>
  <si>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</si>
  <si>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</si>
  <si>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</si>
  <si>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</si>
  <si>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</si>
  <si>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</si>
  <si>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</si>
  <si>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</si>
  <si>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</si>
  <si>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</si>
  <si>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</si>
  <si>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</si>
  <si>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</si>
  <si>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</si>
  <si>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</si>
  <si>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</si>
  <si>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</si>
  <si>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</si>
  <si>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</si>
  <si>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</si>
  <si>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</si>
  <si>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</si>
  <si>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</si>
  <si>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</si>
  <si>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</si>
  <si>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</si>
  <si>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</si>
  <si>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</si>
  <si>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</si>
  <si>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</si>
  <si>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</si>
  <si>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</si>
  <si>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</si>
  <si>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</si>
  <si>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</si>
  <si>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</si>
  <si>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</si>
  <si>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</si>
  <si>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</si>
  <si>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</si>
  <si>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</si>
  <si>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</si>
  <si>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</si>
  <si>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</si>
  <si>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</si>
  <si>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</si>
  <si>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</si>
  <si>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</si>
  <si>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</si>
  <si>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</si>
  <si>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</si>
  <si>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</si>
  <si>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</si>
  <si>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</si>
  <si>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</si>
  <si>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</si>
  <si>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</si>
  <si>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</si>
  <si>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</si>
  <si>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</si>
  <si>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</si>
  <si>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</si>
  <si>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</si>
  <si>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</si>
  <si>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</si>
  <si>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</si>
  <si>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</si>
  <si>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</si>
  <si>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</si>
  <si>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</si>
  <si>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</si>
  <si>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</si>
  <si>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</si>
  <si>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</si>
  <si>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</si>
  <si>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</si>
  <si>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</si>
  <si>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</si>
  <si>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</si>
  <si>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</si>
  <si>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</si>
  <si>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</si>
  <si>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</si>
  <si>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</si>
  <si>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</si>
  <si>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</si>
  <si>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</si>
  <si>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</si>
  <si>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</si>
  <si>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</si>
  <si>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</si>
  <si>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</si>
  <si>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</si>
  <si>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</si>
  <si>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</si>
  <si>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</si>
  <si>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</si>
  <si>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</si>
  <si>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</si>
  <si>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</si>
  <si>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</si>
  <si>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</si>
  <si>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</si>
  <si>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</si>
  <si>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</si>
  <si>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</si>
  <si>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</si>
  <si>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</si>
  <si>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</si>
  <si>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</si>
  <si>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</si>
  <si>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</si>
  <si>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</si>
  <si>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</si>
  <si>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</si>
  <si>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</si>
  <si>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</si>
  <si>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</si>
  <si>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</si>
  <si>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</si>
  <si>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</si>
  <si>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</si>
  <si>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</si>
  <si>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</si>
  <si>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</si>
  <si>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</si>
  <si>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</si>
  <si>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</si>
  <si>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</si>
  <si>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</si>
  <si>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</si>
  <si>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</si>
  <si>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</si>
  <si>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</si>
  <si>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</si>
  <si>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</si>
  <si>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</si>
  <si>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</si>
  <si>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</si>
  <si>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</si>
  <si>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</si>
  <si>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</si>
  <si>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</si>
  <si>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</si>
  <si>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</si>
  <si>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</si>
  <si>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</si>
  <si>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</si>
  <si>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</si>
  <si>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</si>
  <si>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</si>
  <si>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</si>
  <si>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</si>
  <si>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</si>
  <si>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</si>
  <si>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</si>
  <si>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</si>
  <si>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</si>
  <si>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</si>
  <si>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</si>
  <si>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</si>
  <si>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</si>
  <si>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</si>
  <si>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</si>
  <si>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</si>
  <si>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</si>
  <si>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</si>
  <si>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</si>
  <si>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</si>
  <si>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</si>
  <si>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</si>
  <si>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</si>
  <si>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</si>
  <si>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</si>
  <si>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</si>
  <si>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</si>
  <si>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</si>
  <si>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</si>
  <si>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</si>
  <si>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</si>
  <si>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</si>
  <si>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</si>
  <si>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</si>
  <si>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</si>
  <si>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</si>
  <si>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</si>
  <si>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</si>
  <si>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</si>
  <si>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</si>
  <si>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</si>
  <si>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</si>
  <si>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</si>
  <si>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</si>
  <si>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</si>
  <si>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</si>
  <si>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</si>
  <si>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</si>
  <si>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</si>
  <si>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</si>
  <si>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</si>
  <si>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</si>
  <si>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</si>
  <si>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</si>
  <si>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</si>
  <si>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</si>
  <si>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</si>
  <si>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</si>
  <si>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</si>
  <si>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</si>
  <si>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</si>
  <si>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</si>
  <si>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</si>
  <si>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</si>
  <si>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</si>
  <si>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</si>
  <si>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</si>
  <si>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</si>
  <si>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</si>
  <si>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</si>
  <si>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</si>
  <si>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</si>
  <si>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</si>
  <si>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</si>
  <si>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</si>
  <si>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</si>
  <si>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</si>
  <si>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</si>
  <si>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</si>
  <si>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</si>
  <si>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</si>
  <si>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</si>
  <si>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</si>
  <si>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</si>
  <si>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</si>
  <si>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</si>
  <si>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</si>
  <si>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</si>
  <si>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</si>
  <si>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</si>
  <si>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</si>
  <si>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</si>
  <si>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</si>
  <si>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</si>
  <si>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</si>
  <si>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</si>
  <si>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</si>
  <si>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</si>
  <si>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</si>
  <si>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</si>
  <si>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</si>
  <si>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</si>
  <si>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</si>
  <si>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</si>
  <si>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</si>
  <si>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</si>
  <si>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</si>
  <si>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</si>
  <si>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</si>
  <si>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</si>
  <si>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</si>
  <si>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</si>
  <si>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</si>
  <si>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</si>
  <si>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</si>
  <si>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</si>
  <si>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</si>
  <si>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</si>
  <si>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</si>
  <si>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</si>
  <si>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</si>
  <si>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</si>
  <si>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</si>
  <si>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</si>
  <si>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</si>
  <si>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</si>
  <si>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</si>
  <si>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</si>
  <si>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</si>
  <si>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</si>
  <si>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</si>
  <si>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</si>
  <si>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</si>
  <si>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</si>
  <si>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</si>
  <si>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</si>
  <si>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</si>
  <si>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</si>
  <si>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</si>
  <si>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</si>
  <si>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</si>
  <si>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</si>
  <si>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</si>
  <si>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</si>
  <si>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</si>
  <si>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</si>
  <si>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</si>
  <si>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</si>
  <si>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</si>
  <si>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</si>
  <si>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</si>
  <si>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</si>
  <si>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</si>
  <si>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</si>
  <si>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</si>
  <si>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</si>
  <si>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</si>
  <si>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</si>
  <si>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</si>
  <si>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</si>
  <si>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</si>
  <si>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</si>
  <si>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</si>
  <si>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</si>
  <si>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</si>
  <si>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</si>
  <si>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</si>
  <si>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</si>
  <si>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</si>
  <si>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</si>
  <si>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</si>
  <si>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</si>
  <si>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</si>
  <si>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</si>
  <si>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</si>
  <si>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</si>
  <si>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</si>
  <si>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</si>
  <si>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</si>
  <si>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</si>
  <si>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</si>
  <si>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</si>
  <si>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</si>
  <si>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</si>
  <si>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</si>
  <si>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</si>
  <si>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</si>
  <si>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</si>
  <si>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</si>
  <si>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</si>
  <si>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</si>
  <si>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</si>
  <si>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</si>
  <si>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</si>
  <si>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</si>
  <si>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</si>
  <si>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</si>
  <si>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</si>
  <si>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</si>
  <si>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</si>
  <si>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</si>
  <si>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</si>
  <si>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</si>
  <si>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</si>
  <si>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</si>
  <si>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</si>
  <si>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</si>
  <si>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</si>
  <si>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</si>
  <si>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</si>
  <si>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</si>
  <si>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</si>
  <si>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</si>
  <si>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</si>
  <si>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</si>
  <si>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</si>
  <si>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</si>
  <si>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</si>
  <si>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</si>
  <si>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</si>
  <si>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</si>
  <si>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</si>
  <si>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</si>
  <si>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</si>
  <si>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</si>
  <si>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</si>
  <si>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</si>
  <si>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</si>
  <si>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</si>
  <si>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</si>
  <si>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</si>
  <si>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</si>
  <si>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</si>
  <si>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</si>
  <si>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</si>
  <si>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</si>
  <si>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</si>
  <si>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</si>
  <si>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</si>
  <si>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</si>
  <si>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</si>
  <si>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</si>
  <si>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</si>
  <si>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</si>
  <si>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</si>
  <si>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</si>
  <si>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</si>
  <si>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</si>
  <si>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</si>
  <si>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</si>
  <si>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</si>
  <si>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</si>
  <si>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</si>
  <si>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</si>
  <si>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</si>
  <si>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</si>
  <si>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</si>
  <si>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</si>
  <si>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</si>
  <si>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</si>
  <si>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</si>
  <si>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</si>
  <si>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</si>
  <si>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</si>
  <si>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</si>
  <si>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</si>
  <si>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</si>
  <si>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</si>
  <si>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</si>
  <si>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</si>
  <si>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</si>
  <si>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</si>
  <si>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</si>
  <si>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</si>
  <si>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</si>
  <si>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</si>
  <si>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</si>
  <si>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</si>
  <si>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</si>
  <si>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</si>
  <si>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</si>
  <si>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</si>
  <si>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</si>
  <si>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</si>
  <si>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</si>
  <si>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</si>
  <si>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</si>
  <si>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</si>
  <si>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</si>
  <si>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</si>
  <si>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</si>
  <si>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</si>
  <si>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</si>
  <si>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</si>
  <si>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</si>
  <si>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</si>
  <si>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</si>
  <si>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</si>
  <si>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</si>
  <si>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</si>
  <si>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</si>
  <si>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</si>
  <si>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</si>
  <si>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</si>
  <si>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</si>
  <si>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</si>
  <si>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</si>
  <si>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</si>
  <si>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</si>
  <si>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</si>
  <si>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</si>
  <si>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</si>
  <si>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</si>
  <si>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</si>
  <si>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</si>
  <si>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</si>
  <si>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</si>
  <si>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</si>
  <si>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</si>
  <si>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</si>
  <si>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</si>
  <si>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</si>
  <si>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</si>
  <si>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</si>
  <si>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</si>
  <si>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</si>
  <si>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</si>
  <si>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</si>
  <si>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</si>
  <si>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</si>
  <si>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</si>
  <si>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</si>
  <si>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</si>
  <si>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</si>
  <si>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</si>
  <si>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</si>
  <si>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</si>
  <si>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</si>
  <si>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</si>
  <si>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</si>
  <si>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</si>
  <si>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</si>
  <si>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</si>
  <si>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</si>
  <si>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</si>
  <si>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</si>
  <si>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</si>
  <si>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</si>
  <si>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</si>
  <si>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</si>
  <si>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</si>
  <si>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</si>
  <si>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</si>
  <si>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</si>
  <si>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</si>
  <si>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</si>
  <si>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</si>
  <si>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</si>
  <si>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</si>
  <si>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</si>
  <si>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</si>
  <si>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</si>
  <si>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</si>
  <si>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</si>
  <si>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</si>
  <si>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</si>
  <si>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</si>
  <si>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</si>
  <si>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</si>
  <si>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</si>
  <si>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</si>
  <si>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</si>
  <si>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</si>
  <si>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</si>
  <si>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</si>
  <si>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</si>
  <si>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</si>
  <si>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</si>
  <si>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</si>
  <si>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</si>
  <si>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</si>
  <si>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</si>
  <si>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</si>
  <si>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</si>
  <si>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</si>
  <si>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</si>
  <si>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</si>
  <si>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</si>
  <si>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</si>
  <si>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</si>
  <si>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</si>
  <si>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</si>
  <si>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</si>
  <si>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</si>
  <si>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</si>
  <si>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</si>
  <si>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</si>
  <si>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</si>
  <si>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</si>
  <si>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</si>
  <si>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</si>
  <si>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</si>
  <si>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</si>
  <si>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</si>
  <si>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</si>
  <si>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</si>
  <si>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</si>
  <si>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</si>
  <si>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</si>
  <si>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</si>
  <si>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</si>
  <si>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</si>
  <si>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</si>
  <si>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</si>
  <si>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</si>
  <si>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</si>
  <si>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</si>
  <si>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</si>
  <si>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</si>
  <si>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</si>
  <si>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</si>
  <si>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</si>
  <si>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</si>
  <si>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</si>
  <si>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</si>
  <si>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</si>
  <si>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</si>
  <si>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</si>
  <si>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</si>
  <si>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</si>
  <si>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</si>
  <si>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</si>
  <si>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</si>
  <si>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</si>
  <si>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</si>
  <si>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</si>
  <si>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</si>
  <si>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</si>
  <si>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</si>
  <si>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</si>
  <si>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</si>
  <si>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</si>
  <si>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</si>
  <si>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</si>
  <si>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</si>
  <si>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</si>
  <si>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</si>
  <si>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</si>
  <si>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</si>
  <si>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</si>
  <si>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</si>
  <si>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</si>
  <si>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</si>
  <si>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</si>
  <si>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</si>
  <si>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</si>
  <si>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</si>
  <si>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</si>
  <si>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</si>
  <si>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</si>
  <si>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</si>
  <si>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</si>
  <si>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</si>
  <si>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</si>
  <si>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</si>
  <si>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</si>
  <si>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</si>
  <si>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</si>
  <si>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</si>
  <si>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</si>
  <si>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</si>
  <si>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</si>
  <si>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</si>
  <si>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</si>
  <si>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</si>
  <si>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</si>
  <si>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</si>
  <si>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</si>
  <si>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</si>
  <si>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</si>
  <si>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</si>
  <si>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</si>
  <si>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</si>
  <si>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</si>
  <si>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</si>
  <si>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</si>
  <si>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</si>
  <si>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</si>
  <si>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</si>
  <si>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</si>
  <si>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</si>
  <si>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</si>
  <si>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</si>
  <si>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</si>
  <si>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</si>
  <si>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</si>
  <si>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</si>
  <si>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</si>
  <si>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</si>
  <si>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</si>
  <si>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</si>
  <si>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</si>
  <si>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</si>
  <si>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</si>
  <si>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</si>
  <si>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</si>
  <si>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</si>
  <si>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</si>
  <si>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</si>
  <si>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</si>
  <si>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</si>
  <si>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</si>
  <si>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</si>
  <si>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</si>
  <si>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</si>
  <si>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</si>
  <si>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</si>
  <si>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</si>
  <si>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</si>
  <si>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</si>
  <si>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</si>
  <si>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</si>
  <si>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</si>
  <si>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</si>
  <si>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</si>
  <si>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</si>
  <si>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</si>
  <si>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</si>
  <si>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</si>
  <si>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</si>
  <si>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</si>
  <si>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</si>
  <si>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</si>
  <si>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</si>
  <si>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</si>
  <si>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</si>
  <si>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</si>
  <si>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</si>
  <si>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</si>
  <si>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</si>
  <si>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</si>
  <si>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</si>
  <si>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</si>
  <si>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</si>
  <si>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</si>
  <si>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</si>
  <si>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</si>
  <si>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</si>
  <si>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</si>
  <si>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</si>
  <si>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</si>
  <si>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</si>
  <si>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</si>
  <si>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</si>
  <si>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</si>
  <si>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</si>
  <si>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</si>
  <si>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</si>
  <si>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</si>
  <si>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</si>
  <si>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</si>
  <si>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</si>
  <si>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</si>
  <si>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</si>
  <si>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</si>
  <si>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</si>
  <si>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</si>
  <si>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</si>
  <si>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</si>
  <si>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</si>
  <si>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</si>
  <si>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</si>
  <si>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</si>
  <si>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</si>
  <si>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</si>
  <si>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</si>
  <si>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</si>
  <si>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</si>
  <si>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</si>
  <si>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</si>
  <si>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</si>
  <si>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</si>
  <si>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</si>
  <si>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</si>
  <si>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</si>
  <si>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</si>
  <si>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</si>
  <si>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</si>
  <si>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</si>
  <si>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</si>
  <si>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</si>
  <si>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</si>
  <si>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</si>
  <si>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</si>
  <si>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</si>
  <si>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</si>
  <si>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</si>
  <si>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</si>
  <si>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</si>
  <si>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</si>
  <si>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</si>
  <si>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</si>
  <si>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</si>
  <si>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</si>
  <si>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</si>
  <si>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</si>
  <si>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</si>
  <si>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</si>
  <si>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</si>
  <si>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</si>
  <si>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</si>
  <si>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</si>
  <si>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</si>
  <si>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</si>
  <si>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</si>
  <si>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</si>
  <si>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</si>
  <si>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</si>
  <si>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</si>
  <si>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</si>
  <si>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</si>
  <si>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</si>
  <si>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</si>
  <si>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</si>
  <si>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</si>
  <si>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</si>
  <si>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</si>
  <si>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</si>
  <si>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</si>
  <si>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</si>
  <si>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</si>
  <si>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</si>
  <si>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</si>
  <si>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</si>
  <si>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</si>
  <si>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</si>
  <si>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</si>
  <si>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</si>
  <si>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</si>
  <si>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</si>
  <si>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</si>
  <si>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</si>
  <si>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</si>
  <si>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</si>
  <si>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</si>
  <si>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</si>
  <si>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</si>
  <si>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</si>
  <si>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</si>
  <si>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</si>
  <si>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</si>
  <si>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</si>
  <si>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</si>
  <si>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</si>
  <si>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</si>
  <si>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</si>
  <si>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</si>
  <si>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</si>
  <si>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</si>
  <si>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</si>
  <si>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</si>
  <si>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</si>
  <si>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</si>
  <si>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</si>
  <si>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</si>
  <si>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</si>
  <si>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</si>
  <si>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</si>
  <si>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</si>
  <si>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</si>
  <si>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</si>
  <si>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</si>
  <si>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</si>
  <si>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</si>
  <si>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</si>
  <si>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</si>
  <si>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</si>
  <si>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</si>
  <si>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</si>
  <si>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</si>
  <si>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</si>
  <si>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</si>
  <si>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</si>
  <si>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</si>
  <si>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</si>
  <si>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</si>
  <si>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</si>
  <si>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</si>
  <si>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</si>
  <si>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</si>
  <si>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</si>
  <si>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</si>
  <si>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</si>
  <si>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</si>
  <si>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</si>
  <si>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</si>
  <si>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</si>
  <si>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</si>
  <si>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</si>
  <si>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</si>
  <si>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</si>
  <si>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</si>
  <si>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</si>
  <si>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</si>
  <si>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</si>
  <si>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</si>
  <si>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</si>
  <si>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</si>
  <si>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</si>
  <si>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</si>
  <si>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</si>
  <si>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</si>
  <si>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</si>
  <si>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</si>
  <si>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</si>
  <si>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</si>
  <si>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</si>
  <si>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</si>
  <si>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</si>
  <si>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</si>
  <si>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</si>
  <si>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</si>
  <si>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</si>
  <si>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</si>
  <si>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</si>
  <si>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</si>
  <si>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</si>
  <si>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</si>
  <si>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</si>
  <si>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</si>
  <si>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</si>
  <si>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</si>
  <si>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</si>
  <si>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</si>
  <si>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</si>
  <si>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</si>
  <si>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</si>
  <si>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</si>
  <si>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</si>
  <si>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</si>
  <si>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</si>
  <si>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</si>
  <si>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</si>
  <si>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</si>
  <si>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</si>
  <si>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</si>
  <si>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</si>
  <si>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</si>
  <si>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</si>
  <si>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</si>
  <si>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</si>
  <si>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</si>
  <si>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</si>
  <si>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</si>
  <si>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</si>
  <si>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</si>
  <si>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</si>
  <si>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</si>
  <si>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</si>
  <si>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</si>
  <si>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</si>
  <si>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</si>
  <si>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</si>
  <si>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</si>
  <si>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</si>
  <si>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</si>
  <si>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</si>
  <si>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</si>
  <si>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</si>
  <si>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</si>
  <si>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</si>
  <si>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</si>
  <si>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</si>
  <si>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</si>
  <si>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</si>
  <si>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</si>
  <si>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</si>
  <si>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</si>
  <si>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</si>
  <si>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</si>
  <si>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</si>
  <si>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</si>
  <si>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</si>
  <si>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</si>
  <si>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</si>
  <si>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</si>
  <si>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</si>
  <si>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</si>
  <si>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</si>
  <si>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</si>
  <si>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</si>
  <si>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</si>
  <si>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</si>
  <si>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</si>
  <si>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</si>
  <si>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</si>
  <si>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</si>
  <si>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</si>
  <si>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</si>
  <si>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</si>
  <si>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</si>
  <si>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</si>
  <si>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</si>
  <si>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</si>
  <si>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</si>
  <si>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</si>
  <si>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</si>
  <si>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</si>
  <si>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</si>
  <si>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</si>
  <si>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</si>
  <si>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</si>
  <si>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</si>
  <si>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</si>
  <si>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</si>
  <si>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</si>
  <si>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</si>
  <si>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</si>
  <si>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</si>
  <si>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</si>
  <si>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</si>
  <si>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</si>
  <si>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</si>
  <si>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</si>
  <si>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</si>
  <si>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</si>
  <si>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</si>
  <si>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</si>
  <si>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</si>
  <si>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</si>
  <si>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</si>
  <si>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</si>
  <si>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</si>
  <si>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</si>
  <si>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</si>
  <si>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</si>
  <si>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</si>
  <si>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</si>
  <si>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</si>
  <si>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</si>
  <si>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</si>
  <si>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</si>
  <si>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</si>
  <si>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</si>
  <si>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</si>
  <si>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</si>
  <si>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</si>
  <si>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</si>
  <si>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</si>
  <si>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</si>
  <si>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</si>
  <si>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</si>
  <si>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</si>
  <si>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</si>
  <si>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</si>
  <si>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</si>
  <si>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</si>
  <si>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</si>
  <si>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</si>
  <si>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</si>
  <si>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</si>
  <si>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</si>
  <si>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</si>
  <si>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</si>
  <si>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</si>
  <si>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</si>
  <si>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</si>
  <si>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</si>
  <si>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</si>
  <si>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</si>
  <si>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</si>
  <si>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</si>
  <si>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</si>
  <si>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</si>
  <si>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</si>
  <si>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</si>
  <si>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</si>
  <si>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</si>
  <si>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</si>
  <si>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</si>
  <si>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</si>
  <si>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</si>
  <si>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</si>
  <si>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</si>
  <si>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</si>
  <si>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</si>
  <si>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</si>
  <si>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</si>
  <si>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</si>
  <si>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</si>
  <si>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</si>
  <si>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</si>
  <si>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</si>
  <si>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</si>
  <si>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</si>
  <si>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</si>
  <si>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</si>
  <si>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</si>
  <si>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</si>
  <si>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</si>
  <si>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</si>
  <si>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</si>
  <si>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</si>
  <si>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</si>
  <si>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</si>
  <si>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</si>
  <si>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</si>
  <si>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</si>
  <si>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</si>
  <si>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</si>
  <si>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</si>
  <si>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</si>
  <si>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</si>
  <si>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</si>
  <si>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</si>
  <si>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</si>
  <si>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</si>
  <si>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</si>
  <si>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</si>
  <si>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</si>
  <si>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</si>
  <si>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</si>
  <si>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</si>
  <si>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</si>
  <si>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</si>
  <si>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</si>
  <si>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</si>
  <si>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</si>
  <si>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</si>
  <si>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</si>
  <si>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</si>
  <si>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</si>
  <si>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</si>
  <si>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</si>
  <si>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</si>
  <si>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</si>
  <si>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</si>
  <si>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</si>
  <si>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</si>
  <si>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</si>
  <si>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</si>
  <si>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</si>
  <si>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</si>
  <si>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</si>
  <si>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</si>
  <si>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</si>
  <si>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</si>
  <si>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</si>
  <si>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</si>
  <si>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</si>
  <si>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</si>
  <si>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</si>
  <si>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</si>
  <si>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</si>
  <si>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</si>
  <si>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</si>
  <si>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</si>
  <si>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</si>
  <si>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</si>
  <si>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</si>
  <si>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</si>
  <si>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</si>
  <si>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</si>
  <si>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</si>
  <si>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</si>
  <si>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</si>
  <si>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</si>
  <si>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</si>
  <si>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</si>
  <si>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</si>
  <si>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</si>
  <si>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</si>
  <si>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</si>
  <si>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</si>
  <si>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</si>
  <si>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</si>
  <si>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</si>
  <si>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</si>
  <si>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</si>
  <si>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</si>
  <si>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</si>
  <si>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</si>
  <si>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</si>
  <si>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</si>
  <si>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</si>
  <si>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</si>
  <si>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</si>
  <si>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</si>
  <si>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</si>
  <si>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</si>
  <si>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</si>
  <si>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</si>
  <si>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</si>
  <si>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</si>
  <si>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</si>
  <si>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</si>
  <si>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</si>
  <si>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</si>
  <si>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</si>
  <si>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</si>
  <si>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</si>
  <si>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</si>
  <si>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</si>
  <si>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</si>
  <si>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</si>
  <si>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</si>
  <si>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</si>
  <si>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</si>
  <si>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</si>
  <si>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</si>
  <si>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</si>
  <si>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</si>
  <si>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</si>
  <si>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</si>
  <si>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</si>
  <si>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</si>
  <si>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</si>
  <si>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</si>
  <si>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</si>
  <si>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</si>
  <si>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</si>
  <si>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</si>
  <si>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</si>
  <si>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</si>
  <si>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</si>
  <si>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</si>
  <si>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</si>
  <si>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</si>
  <si>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</si>
  <si>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</si>
  <si>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</si>
  <si>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</si>
  <si>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</si>
  <si>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</si>
  <si>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</si>
  <si>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</si>
  <si>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</si>
  <si>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</si>
  <si>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</si>
  <si>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</si>
  <si>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</si>
  <si>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</si>
  <si>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</si>
  <si>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</si>
  <si>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</si>
  <si>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</si>
  <si>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</si>
  <si>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</si>
  <si>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</si>
  <si>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</si>
  <si>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</si>
  <si>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</si>
  <si>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</si>
  <si>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</si>
  <si>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</si>
  <si>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</si>
  <si>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</si>
  <si>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</si>
  <si>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</si>
  <si>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</si>
  <si>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</si>
  <si>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</si>
  <si>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</si>
  <si>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</si>
  <si>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</si>
  <si>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</si>
  <si>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</si>
  <si>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</si>
  <si>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</si>
  <si>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</si>
  <si>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</si>
  <si>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</si>
  <si>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</si>
  <si>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</si>
  <si>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</si>
  <si>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</si>
  <si>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</si>
  <si>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</si>
  <si>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</si>
  <si>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</si>
  <si>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</si>
  <si>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</si>
  <si>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</si>
  <si>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</si>
  <si>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</si>
  <si>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</si>
  <si>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</si>
  <si>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</si>
  <si>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</si>
  <si>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</si>
  <si>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</si>
  <si>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</si>
  <si>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</si>
  <si>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</si>
  <si>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</si>
  <si>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</si>
  <si>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</si>
  <si>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</si>
  <si>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</si>
  <si>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</si>
  <si>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</si>
  <si>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</si>
  <si>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</si>
  <si>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</si>
  <si>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</si>
  <si>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</si>
  <si>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</si>
  <si>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</si>
  <si>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</si>
  <si>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</si>
  <si>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</si>
  <si>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</si>
  <si>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</si>
  <si>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</si>
  <si>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</si>
  <si>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</si>
  <si>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</si>
  <si>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</si>
  <si>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</si>
  <si>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</si>
  <si>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</si>
  <si>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</si>
  <si>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</si>
  <si>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</si>
  <si>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</si>
  <si>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</si>
  <si>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</si>
  <si>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</si>
  <si>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</si>
  <si>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</si>
  <si>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</si>
  <si>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</si>
  <si>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</si>
  <si>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</si>
  <si>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</si>
  <si>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</si>
  <si>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</si>
  <si>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</si>
  <si>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</si>
  <si>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</si>
  <si>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</si>
  <si>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</si>
  <si>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</si>
  <si>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</si>
  <si>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</si>
  <si>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</si>
  <si>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</si>
  <si>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</si>
  <si>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</si>
  <si>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</si>
  <si>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</si>
  <si>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</si>
  <si>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</si>
  <si>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</si>
  <si>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</si>
  <si>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</si>
  <si>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</si>
  <si>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</si>
  <si>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</si>
  <si>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</si>
  <si>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</si>
  <si>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</si>
  <si>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</si>
  <si>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</si>
  <si>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</si>
  <si>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</si>
  <si>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</si>
  <si>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</si>
  <si>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</si>
  <si>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</si>
  <si>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</si>
  <si>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</si>
  <si>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</si>
  <si>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</si>
  <si>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</si>
  <si>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</si>
  <si>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</si>
  <si>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</si>
  <si>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</si>
  <si>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</si>
  <si>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</si>
  <si>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</si>
  <si>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</si>
  <si>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</si>
  <si>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</si>
  <si>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</si>
  <si>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</si>
  <si>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</si>
  <si>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</si>
  <si>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</si>
  <si>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</si>
  <si>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</si>
  <si>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</si>
  <si>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</si>
  <si>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</si>
  <si>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</si>
  <si>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</si>
  <si>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</si>
  <si>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</si>
  <si>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</si>
  <si>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</si>
  <si>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</si>
  <si>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</si>
  <si>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</si>
  <si>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</si>
  <si>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</si>
  <si>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</si>
  <si>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</si>
  <si>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</si>
  <si>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</si>
  <si>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</si>
  <si>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</si>
  <si>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</si>
  <si>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</si>
  <si>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</si>
  <si>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</si>
  <si>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</si>
  <si>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</si>
  <si>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</si>
  <si>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</si>
  <si>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</si>
  <si>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</si>
  <si>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</si>
  <si>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</si>
  <si>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</si>
  <si>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</si>
  <si>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</si>
  <si>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</si>
  <si>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</si>
  <si>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</si>
  <si>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</si>
  <si>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</si>
  <si>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</si>
  <si>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</si>
  <si>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</si>
  <si>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</si>
  <si>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</si>
  <si>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</si>
  <si>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</si>
  <si>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</si>
  <si>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</si>
  <si>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</si>
  <si>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</si>
  <si>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</si>
  <si>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</si>
  <si>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</si>
  <si>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</si>
  <si>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</si>
  <si>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</si>
  <si>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</si>
  <si>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</si>
  <si>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</si>
  <si>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</si>
  <si>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</si>
  <si>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</si>
  <si>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</si>
  <si>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</si>
  <si>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</si>
  <si>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</si>
  <si>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</si>
  <si>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</si>
  <si>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</si>
  <si>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</si>
  <si>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</si>
  <si>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</si>
  <si>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</si>
  <si>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</si>
  <si>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</si>
  <si>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</si>
  <si>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</si>
  <si>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</si>
  <si>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</si>
  <si>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</si>
  <si>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</si>
  <si>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</si>
  <si>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</si>
  <si>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</si>
  <si>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</si>
  <si>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</si>
  <si>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</si>
  <si>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</si>
  <si>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</si>
  <si>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</si>
  <si>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</si>
  <si>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</si>
  <si>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</si>
  <si>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</si>
  <si>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</si>
  <si>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</si>
  <si>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</si>
  <si>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</si>
  <si>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</si>
  <si>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</si>
  <si>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</si>
  <si>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</si>
  <si>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</si>
  <si>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</si>
  <si>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</si>
  <si>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</si>
  <si>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</si>
  <si>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</si>
  <si>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</si>
  <si>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</si>
  <si>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</si>
  <si>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</si>
  <si>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</si>
  <si>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</si>
  <si>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</si>
  <si>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</si>
  <si>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</si>
  <si>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</si>
  <si>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</si>
  <si>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</si>
  <si>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</si>
  <si>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</si>
  <si>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</si>
  <si>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</si>
  <si>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</si>
  <si>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</si>
  <si>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</si>
  <si>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</si>
  <si>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</si>
  <si>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</si>
  <si>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</si>
  <si>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</si>
  <si>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</si>
  <si>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</si>
  <si>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</si>
  <si>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</si>
  <si>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</si>
  <si>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</si>
  <si>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</si>
  <si>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</si>
  <si>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</si>
  <si>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</si>
  <si>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</si>
  <si>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</si>
  <si>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</si>
  <si>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</si>
  <si>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</si>
  <si>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</si>
  <si>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</si>
  <si>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</si>
  <si>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</si>
  <si>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</si>
  <si>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</si>
  <si>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</si>
  <si>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</si>
  <si>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</si>
  <si>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</si>
  <si>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</si>
  <si>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</si>
  <si>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</si>
  <si>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</si>
  <si>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</si>
  <si>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</si>
  <si>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</si>
  <si>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</si>
  <si>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</si>
  <si>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</si>
  <si>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</si>
  <si>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</si>
  <si>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</si>
  <si>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</si>
  <si>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</si>
  <si>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</si>
  <si>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</si>
  <si>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</si>
  <si>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</si>
  <si>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</si>
  <si>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</si>
  <si>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</si>
  <si>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</si>
  <si>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</si>
  <si>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</si>
  <si>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</si>
  <si>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</si>
  <si>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</si>
  <si>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</si>
  <si>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</si>
  <si>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</si>
  <si>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</si>
  <si>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</si>
  <si>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</si>
  <si>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</si>
  <si>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</si>
  <si>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</si>
  <si>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</si>
  <si>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</si>
  <si>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</si>
  <si>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</si>
  <si>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</si>
  <si>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</si>
  <si>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</si>
  <si>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</si>
  <si>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</si>
  <si>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</si>
  <si>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</si>
  <si>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</si>
  <si>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</si>
  <si>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</si>
  <si>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</si>
  <si>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</si>
  <si>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</si>
  <si>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</si>
  <si>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</si>
  <si>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</si>
  <si>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</si>
  <si>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</si>
  <si>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</si>
  <si>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</si>
  <si>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</si>
  <si>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</si>
  <si>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</si>
  <si>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</si>
  <si>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</si>
  <si>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</si>
  <si>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</si>
  <si>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</si>
  <si>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</si>
  <si>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</si>
  <si>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</si>
  <si>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</si>
  <si>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</si>
  <si>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</si>
  <si>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</si>
  <si>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</si>
  <si>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</si>
  <si>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</si>
  <si>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</si>
  <si>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</si>
  <si>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</si>
  <si>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</si>
  <si>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</si>
  <si>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</si>
  <si>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</si>
  <si>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</si>
  <si>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</si>
  <si>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</si>
  <si>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</si>
  <si>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</si>
  <si>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</si>
  <si>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</si>
  <si>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</si>
  <si>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</si>
  <si>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</si>
  <si>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</si>
  <si>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</si>
  <si>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</si>
  <si>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</si>
  <si>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</si>
  <si>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</si>
  <si>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</si>
  <si>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</si>
  <si>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</si>
  <si>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</si>
  <si>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</si>
  <si>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</si>
  <si>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</si>
  <si>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</si>
  <si>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</si>
  <si>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</si>
  <si>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</si>
  <si>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</si>
  <si>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</si>
  <si>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</si>
  <si>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</si>
  <si>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</si>
  <si>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</si>
  <si>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</si>
  <si>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</si>
  <si>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</si>
  <si>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</si>
  <si>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</si>
  <si>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</si>
  <si>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</si>
  <si>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</si>
  <si>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</si>
  <si>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</si>
  <si>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</si>
  <si>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</si>
  <si>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</si>
  <si>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</si>
  <si>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</si>
  <si>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</si>
  <si>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</si>
  <si>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</si>
  <si>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</si>
  <si>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</si>
  <si>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</si>
  <si>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</si>
  <si>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</si>
  <si>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</si>
  <si>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</si>
  <si>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</si>
  <si>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</si>
  <si>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</si>
  <si>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</si>
  <si>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</si>
  <si>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</si>
  <si>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</si>
  <si>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</si>
  <si>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</si>
  <si>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</si>
  <si>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</si>
  <si>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</si>
  <si>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</si>
  <si>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</si>
  <si>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</si>
  <si>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</si>
  <si>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</si>
  <si>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</si>
  <si>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</si>
  <si>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</si>
  <si>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</si>
  <si>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</si>
  <si>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</si>
  <si>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</si>
  <si>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</si>
  <si>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</si>
  <si>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</si>
  <si>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</si>
  <si>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</si>
  <si>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</si>
  <si>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</si>
  <si>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</si>
  <si>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</si>
  <si>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</si>
  <si>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</si>
  <si>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</si>
  <si>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</si>
  <si>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</si>
  <si>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</si>
  <si>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</si>
  <si>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</si>
  <si>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</si>
  <si>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</si>
  <si>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</si>
  <si>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</si>
  <si>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</si>
  <si>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</si>
  <si>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</si>
  <si>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</si>
  <si>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</si>
  <si>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</si>
  <si>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</si>
  <si>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</si>
  <si>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</si>
  <si>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</si>
  <si>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</si>
  <si>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</si>
  <si>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</si>
  <si>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</si>
  <si>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</si>
  <si>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</si>
  <si>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</si>
  <si>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</si>
  <si>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</si>
  <si>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</si>
  <si>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</si>
  <si>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</si>
  <si>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</si>
  <si>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</si>
  <si>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</si>
  <si>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</si>
  <si>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</si>
  <si>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</si>
  <si>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</si>
  <si>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</si>
  <si>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</si>
  <si>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</si>
  <si>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</si>
  <si>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</si>
  <si>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</si>
  <si>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</si>
  <si>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</si>
  <si>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</si>
  <si>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</si>
  <si>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</si>
  <si>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</si>
  <si>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</si>
  <si>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</si>
  <si>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</si>
  <si>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</si>
  <si>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</si>
  <si>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</si>
  <si>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</si>
  <si>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</si>
  <si>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</si>
  <si>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</si>
  <si>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</si>
  <si>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</si>
  <si>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</si>
  <si>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</si>
  <si>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</si>
  <si>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</si>
  <si>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</si>
  <si>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</si>
  <si>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</si>
  <si>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</si>
  <si>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</si>
  <si>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</si>
  <si>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</si>
  <si>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</si>
  <si>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</si>
  <si>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</si>
  <si>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</si>
  <si>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</si>
  <si>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</si>
  <si>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</si>
  <si>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</si>
  <si>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</si>
  <si>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</si>
  <si>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</si>
  <si>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</si>
  <si>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</si>
  <si>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</si>
  <si>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</si>
  <si>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</si>
  <si>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</si>
  <si>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</si>
  <si>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</si>
  <si>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</si>
  <si>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</si>
  <si>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</si>
  <si>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</si>
  <si>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</si>
  <si>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</si>
  <si>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</si>
  <si>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</si>
  <si>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</si>
  <si>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</si>
  <si>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</si>
  <si>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</si>
  <si>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</si>
  <si>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</si>
  <si>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</si>
  <si>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</si>
  <si>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</si>
  <si>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</si>
  <si>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</si>
  <si>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</si>
  <si>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</si>
  <si>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</si>
  <si>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</si>
  <si>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</si>
  <si>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</si>
  <si>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</si>
  <si>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</si>
  <si>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</si>
  <si>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</si>
  <si>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</si>
  <si>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</si>
  <si>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</si>
  <si>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</si>
  <si>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</si>
  <si>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</si>
  <si>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</si>
  <si>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</si>
  <si>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</si>
  <si>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</si>
  <si>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</si>
  <si>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</si>
  <si>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</si>
  <si>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</si>
  <si>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</si>
  <si>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</si>
  <si>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</si>
  <si>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</si>
  <si>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</si>
  <si>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</si>
  <si>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</si>
  <si>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</si>
  <si>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</si>
  <si>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</si>
  <si>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</si>
  <si>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</si>
  <si>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</si>
  <si>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</si>
  <si>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</si>
  <si>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</si>
  <si>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</si>
  <si>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</si>
  <si>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</si>
  <si>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</si>
  <si>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</si>
  <si>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</si>
  <si>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</si>
  <si>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</si>
  <si>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</si>
  <si>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</si>
  <si>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</si>
  <si>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</si>
  <si>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</si>
  <si>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</si>
  <si>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</si>
  <si>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</si>
  <si>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</si>
  <si>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</si>
  <si>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</si>
  <si>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</si>
  <si>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</si>
  <si>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</si>
  <si>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</si>
  <si>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</si>
  <si>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</si>
  <si>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</si>
  <si>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</si>
  <si>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</si>
  <si>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</si>
  <si>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</si>
  <si>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</si>
  <si>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</si>
  <si>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</si>
  <si>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</si>
  <si>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</si>
  <si>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</si>
  <si>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</si>
  <si>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</si>
  <si>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</si>
  <si>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</si>
  <si>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</si>
  <si>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</si>
  <si>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</si>
  <si>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</si>
  <si>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</si>
  <si>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</si>
  <si>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</si>
  <si>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</si>
  <si>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</si>
  <si>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</si>
  <si>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</si>
  <si>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</si>
  <si>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</si>
  <si>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</si>
  <si>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</si>
  <si>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</si>
  <si>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</si>
  <si>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</si>
  <si>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</si>
  <si>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</si>
  <si>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</si>
  <si>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</si>
  <si>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</si>
  <si>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</si>
  <si>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</si>
  <si>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</si>
  <si>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</si>
  <si>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</si>
  <si>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</si>
  <si>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</si>
  <si>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</si>
  <si>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</si>
  <si>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</si>
  <si>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</si>
  <si>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</si>
  <si>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</si>
  <si>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</si>
  <si>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</si>
  <si>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</si>
  <si>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</si>
  <si>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</si>
  <si>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</si>
  <si>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</si>
  <si>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</si>
  <si>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</si>
  <si>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</si>
  <si>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</si>
  <si>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</si>
  <si>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</si>
  <si>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</si>
  <si>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</si>
  <si>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</si>
  <si>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</si>
  <si>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</si>
  <si>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</si>
  <si>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</si>
  <si>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</si>
  <si>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</si>
  <si>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</si>
  <si>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</si>
  <si>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</si>
  <si>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</si>
  <si>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</si>
  <si>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</si>
  <si>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</si>
  <si>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</si>
  <si>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</si>
  <si>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</si>
  <si>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</si>
  <si>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</si>
  <si>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</si>
  <si>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</si>
  <si>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</si>
  <si>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</si>
  <si>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</si>
  <si>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</si>
  <si>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</si>
  <si>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</si>
  <si>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</si>
  <si>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</si>
  <si>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</si>
  <si>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</si>
  <si>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</si>
  <si>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</si>
  <si>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</si>
  <si>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</si>
  <si>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</si>
  <si>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</si>
  <si>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</si>
  <si>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</si>
  <si>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</si>
  <si>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</si>
  <si>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</si>
  <si>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</si>
  <si>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</si>
  <si>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</si>
  <si>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</si>
  <si>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</si>
  <si>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</si>
  <si>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</si>
  <si>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</si>
  <si>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</si>
  <si>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</si>
  <si>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</si>
  <si>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</si>
  <si>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</si>
  <si>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</si>
  <si>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</si>
  <si>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</si>
  <si>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</si>
  <si>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</si>
  <si>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</si>
  <si>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</si>
  <si>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</si>
  <si>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</si>
  <si>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</si>
  <si>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</si>
  <si>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</si>
  <si>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</si>
  <si>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</si>
  <si>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</si>
  <si>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</si>
  <si>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</si>
  <si>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</si>
  <si>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</si>
  <si>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</si>
  <si>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</si>
  <si>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</si>
  <si>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</si>
  <si>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</si>
  <si>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</si>
  <si>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</si>
  <si>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</si>
  <si>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</si>
  <si>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</si>
  <si>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</si>
  <si>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</si>
  <si>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</si>
  <si>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</si>
  <si>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</si>
  <si>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</si>
  <si>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</si>
  <si>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</si>
  <si>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</si>
  <si>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</si>
  <si>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</si>
  <si>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</si>
  <si>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</si>
  <si>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</si>
  <si>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</si>
  <si>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</si>
  <si>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</si>
  <si>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</si>
  <si>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</si>
  <si>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</si>
  <si>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</si>
  <si>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</si>
  <si>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</si>
  <si>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</si>
  <si>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</si>
  <si>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</si>
  <si>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</si>
  <si>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</si>
  <si>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</si>
  <si>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</si>
  <si>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</si>
  <si>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</si>
  <si>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</si>
  <si>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</si>
  <si>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</si>
  <si>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</si>
  <si>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</si>
  <si>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</si>
  <si>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</si>
  <si>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</si>
  <si>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</si>
  <si>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</si>
  <si>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</si>
  <si>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</si>
  <si>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</si>
  <si>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</si>
  <si>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</si>
  <si>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</si>
  <si>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</si>
  <si>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</si>
  <si>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</si>
  <si>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</si>
  <si>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</si>
  <si>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</si>
  <si>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</si>
  <si>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</si>
  <si>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</si>
  <si>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</si>
  <si>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</si>
  <si>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</si>
  <si>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</si>
  <si>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</si>
  <si>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</si>
  <si>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</si>
  <si>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</si>
  <si>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</si>
  <si>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</si>
  <si>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</si>
  <si>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</si>
  <si>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</si>
  <si>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</si>
  <si>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</si>
  <si>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</si>
  <si>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</si>
  <si>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</si>
  <si>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</si>
  <si>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</si>
  <si>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</si>
  <si>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</si>
  <si>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</si>
  <si>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</si>
  <si>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</si>
  <si>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</si>
  <si>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</si>
  <si>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</si>
  <si>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</si>
  <si>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</si>
  <si>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</si>
  <si>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</si>
  <si>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</si>
  <si>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</si>
  <si>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</si>
  <si>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</si>
  <si>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</si>
  <si>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</si>
  <si>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</si>
  <si>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</si>
  <si>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</si>
  <si>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</si>
  <si>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</si>
  <si>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</si>
  <si>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</si>
  <si>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</si>
  <si>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</si>
  <si>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</si>
  <si>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</si>
  <si>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</si>
  <si>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</si>
  <si>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</si>
  <si>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</si>
  <si>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</si>
  <si>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</si>
  <si>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</si>
  <si>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</si>
  <si>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</si>
  <si>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</si>
  <si>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</si>
  <si>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</si>
  <si>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</si>
  <si>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</si>
  <si>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</si>
  <si>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</si>
  <si>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</si>
  <si>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</si>
  <si>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</si>
  <si>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</si>
  <si>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</si>
  <si>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</si>
  <si>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</si>
  <si>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</si>
  <si>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</si>
  <si>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</si>
  <si>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</si>
  <si>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</si>
  <si>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</si>
  <si>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</si>
  <si>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</si>
  <si>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</si>
  <si>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</si>
  <si>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</si>
  <si>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</si>
  <si>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</si>
  <si>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</si>
  <si>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</si>
  <si>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</si>
  <si>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</si>
  <si>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</si>
  <si>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</si>
  <si>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</si>
  <si>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</si>
  <si>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</si>
  <si>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</si>
  <si>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</si>
  <si>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</si>
  <si>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</si>
  <si>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</si>
  <si>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</si>
  <si>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</si>
  <si>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</si>
  <si>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</si>
  <si>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</si>
  <si>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</si>
  <si>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</si>
  <si>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</si>
  <si>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</si>
  <si>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</si>
  <si>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</si>
  <si>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</si>
  <si>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</si>
  <si>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</si>
  <si>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</si>
  <si>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</si>
  <si>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</si>
  <si>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</si>
  <si>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</si>
  <si>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</si>
  <si>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</si>
  <si>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</si>
  <si>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</si>
  <si>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</si>
  <si>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</si>
  <si>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</si>
  <si>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</si>
  <si>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</si>
  <si>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</si>
  <si>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</si>
  <si>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</si>
  <si>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</si>
  <si>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</si>
  <si>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</si>
  <si>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</si>
  <si>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</si>
  <si>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</si>
  <si>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</si>
  <si>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</si>
  <si>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</si>
  <si>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</si>
  <si>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</si>
  <si>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</si>
  <si>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</si>
  <si>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</si>
  <si>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</si>
  <si>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</si>
  <si>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</si>
  <si>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</si>
  <si>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</si>
  <si>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</si>
  <si>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</si>
  <si>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</si>
  <si>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</si>
  <si>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</si>
  <si>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</si>
  <si>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</si>
  <si>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</si>
  <si>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</si>
  <si>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</si>
  <si>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</si>
  <si>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</si>
  <si>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</si>
  <si>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</si>
  <si>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</si>
  <si>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</si>
  <si>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</si>
  <si>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</si>
  <si>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</si>
  <si>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</si>
  <si>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</si>
  <si>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</si>
  <si>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</si>
  <si>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</si>
  <si>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</si>
  <si>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</si>
  <si>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</si>
  <si>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</si>
  <si>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</si>
  <si>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</si>
  <si>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</si>
  <si>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</si>
  <si>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</si>
  <si>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</si>
  <si>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</si>
  <si>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</si>
  <si>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</si>
  <si>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</si>
  <si>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</si>
  <si>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</si>
  <si>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</si>
  <si>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</si>
  <si>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</si>
  <si>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</si>
  <si>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</si>
  <si>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</si>
  <si>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</si>
  <si>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</si>
  <si>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</si>
  <si>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</si>
  <si>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</si>
  <si>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</si>
  <si>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</si>
  <si>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</si>
  <si>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</si>
  <si>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</si>
  <si>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</si>
  <si>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</si>
  <si>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</si>
  <si>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</si>
  <si>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</si>
  <si>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</si>
  <si>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</si>
  <si>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</si>
  <si>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</si>
  <si>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</si>
  <si>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</si>
  <si>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</si>
  <si>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</si>
  <si>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</si>
  <si>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</si>
  <si>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</si>
  <si>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</si>
  <si>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</si>
  <si>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</si>
  <si>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</si>
  <si>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</si>
  <si>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</si>
  <si>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</si>
  <si>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</si>
  <si>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</si>
  <si>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</si>
  <si>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</si>
  <si>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</si>
  <si>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</si>
  <si>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</si>
  <si>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</si>
  <si>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</si>
  <si>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</si>
  <si>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</si>
  <si>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</si>
  <si>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</si>
  <si>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</si>
  <si>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</si>
  <si>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</si>
  <si>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</si>
  <si>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</si>
  <si>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</si>
  <si>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</si>
  <si>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</si>
  <si>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</si>
  <si>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</si>
  <si>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</si>
  <si>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</si>
  <si>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</si>
  <si>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</si>
  <si>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</si>
  <si>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</si>
  <si>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</si>
  <si>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</si>
  <si>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</si>
  <si>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</si>
  <si>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</si>
  <si>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</si>
  <si>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</si>
  <si>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</si>
  <si>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</si>
  <si>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</si>
  <si>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</si>
  <si>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</si>
  <si>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</si>
  <si>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</si>
  <si>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</si>
  <si>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</si>
  <si>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</si>
  <si>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</si>
  <si>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</si>
  <si>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</si>
  <si>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</si>
  <si>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</si>
  <si>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</si>
  <si>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</si>
  <si>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</si>
  <si>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</si>
  <si>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</si>
  <si>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</si>
  <si>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</si>
  <si>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</si>
  <si>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</si>
  <si>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</si>
  <si>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</si>
  <si>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</si>
  <si>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</si>
  <si>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</si>
  <si>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</si>
  <si>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</si>
  <si>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</si>
  <si>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</si>
  <si>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</si>
  <si>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</si>
  <si>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</si>
  <si>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</si>
  <si>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</si>
  <si>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</si>
  <si>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</si>
  <si>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</si>
  <si>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</si>
  <si>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</si>
  <si>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</si>
  <si>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</si>
  <si>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</si>
  <si>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</si>
  <si>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</si>
  <si>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</si>
  <si>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</si>
  <si>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</si>
  <si>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</si>
  <si>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</si>
  <si>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</si>
  <si>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</si>
  <si>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</si>
  <si>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</si>
  <si>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</si>
  <si>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</si>
  <si>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</si>
  <si>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</si>
  <si>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</si>
  <si>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</si>
  <si>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</si>
  <si>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</si>
  <si>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</si>
  <si>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</si>
  <si>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</si>
  <si>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</si>
  <si>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</si>
  <si>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</si>
  <si>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</si>
  <si>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</si>
  <si>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</si>
  <si>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</si>
  <si>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</si>
  <si>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</si>
  <si>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</si>
  <si>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</si>
  <si>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</si>
  <si>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</si>
  <si>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</si>
  <si>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</si>
  <si>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</si>
  <si>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</si>
  <si>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</si>
  <si>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</si>
  <si>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</si>
  <si>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</si>
  <si>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</si>
  <si>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</si>
  <si>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</si>
  <si>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</si>
  <si>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</si>
  <si>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</si>
  <si>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</si>
  <si>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</si>
  <si>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</si>
  <si>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</si>
  <si>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</si>
  <si>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</si>
  <si>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</si>
  <si>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</si>
  <si>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</si>
  <si>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</si>
  <si>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</si>
  <si>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</si>
  <si>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</si>
  <si>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</si>
  <si>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</si>
  <si>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</si>
  <si>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</si>
  <si>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</si>
  <si>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</si>
  <si>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</si>
  <si>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</si>
  <si>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</si>
  <si>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</si>
  <si>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</si>
  <si>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</si>
  <si>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</si>
  <si>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</si>
  <si>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</si>
  <si>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</si>
  <si>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</si>
  <si>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</si>
  <si>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</si>
  <si>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</si>
  <si>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</si>
  <si>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</si>
  <si>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</si>
  <si>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</si>
  <si>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</si>
  <si>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</si>
  <si>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</si>
  <si>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</si>
  <si>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</si>
  <si>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</si>
  <si>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</si>
  <si>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</si>
  <si>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</si>
  <si>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</si>
  <si>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</si>
  <si>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</si>
  <si>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</si>
  <si>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</si>
  <si>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</si>
  <si>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</si>
  <si>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</si>
  <si>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</si>
  <si>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</si>
  <si>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</si>
  <si>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</si>
  <si>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</si>
  <si>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</si>
  <si>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</si>
  <si>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</si>
  <si>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</si>
  <si>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</si>
  <si>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</si>
  <si>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</si>
  <si>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</si>
  <si>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</si>
  <si>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</si>
  <si>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</si>
  <si>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</si>
  <si>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</si>
  <si>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</si>
  <si>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</si>
  <si>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</si>
  <si>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</si>
  <si>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</si>
  <si>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</si>
  <si>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</si>
  <si>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</si>
  <si>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</si>
  <si>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</si>
  <si>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</si>
  <si>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</si>
  <si>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</si>
  <si>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</si>
  <si>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</si>
  <si>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</si>
  <si>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</si>
  <si>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</si>
  <si>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</si>
  <si>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</si>
  <si>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</si>
  <si>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</si>
  <si>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</si>
  <si>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</si>
  <si>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</si>
  <si>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</si>
  <si>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</si>
  <si>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</si>
  <si>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</si>
  <si>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</si>
  <si>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</si>
  <si>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</si>
  <si>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</si>
  <si>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</si>
  <si>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</si>
  <si>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</si>
  <si>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</si>
  <si>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</si>
  <si>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</si>
  <si>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</si>
  <si>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</si>
  <si>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</si>
  <si>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</si>
  <si>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</si>
  <si>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</si>
  <si>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</si>
  <si>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</si>
  <si>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</si>
  <si>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</si>
  <si>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</si>
  <si>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</si>
  <si>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</si>
  <si>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</si>
  <si>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</si>
  <si>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</si>
  <si>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</si>
  <si>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</si>
  <si>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</si>
  <si>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</si>
  <si>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</si>
  <si>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</si>
  <si>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</si>
  <si>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</si>
  <si>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</si>
  <si>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</si>
  <si>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</si>
  <si>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</si>
  <si>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</si>
  <si>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</si>
  <si>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</si>
  <si>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</si>
  <si>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</si>
  <si>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</si>
  <si>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</si>
  <si>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</si>
  <si>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</si>
  <si>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</si>
  <si>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</si>
  <si>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</si>
  <si>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</si>
  <si>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</si>
  <si>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</si>
  <si>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</si>
  <si>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</si>
  <si>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</si>
  <si>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</si>
  <si>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</si>
  <si>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</si>
  <si>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</si>
  <si>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</si>
  <si>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</si>
  <si>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</si>
  <si>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</si>
  <si>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</si>
  <si>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</si>
  <si>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</si>
  <si>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</si>
  <si>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</si>
  <si>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</si>
  <si>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</si>
  <si>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</si>
  <si>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</si>
  <si>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</si>
  <si>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</si>
  <si>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</si>
  <si>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</si>
  <si>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</si>
  <si>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</si>
  <si>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</si>
  <si>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</si>
  <si>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</si>
  <si>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</si>
  <si>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</si>
  <si>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</si>
  <si>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</si>
  <si>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</si>
  <si>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</si>
  <si>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</si>
  <si>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</si>
  <si>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</si>
  <si>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</si>
  <si>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</si>
  <si>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</si>
  <si>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</si>
  <si>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</si>
  <si>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</si>
  <si>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</si>
  <si>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</si>
  <si>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</si>
  <si>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</si>
  <si>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</si>
  <si>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</si>
  <si>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</si>
  <si>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</si>
  <si>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</si>
  <si>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</si>
  <si>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</si>
  <si>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</si>
  <si>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</si>
  <si>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</si>
  <si>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</si>
  <si>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</si>
  <si>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</si>
  <si>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</si>
  <si>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</si>
  <si>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</si>
  <si>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</si>
  <si>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</si>
  <si>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</si>
  <si>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</si>
  <si>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</si>
  <si>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</si>
  <si>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</si>
  <si>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</si>
  <si>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</si>
  <si>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</si>
  <si>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</si>
  <si>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</si>
  <si>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</si>
  <si>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</si>
  <si>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</si>
  <si>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</si>
  <si>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</si>
  <si>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</si>
  <si>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</si>
  <si>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</si>
  <si>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</si>
  <si>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</si>
  <si>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</si>
  <si>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</si>
  <si>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</si>
  <si>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</si>
  <si>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</si>
  <si>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</si>
  <si>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</si>
  <si>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</si>
  <si>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</si>
  <si>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</si>
  <si>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</si>
  <si>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</si>
  <si>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</si>
  <si>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</si>
  <si>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</si>
  <si>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</si>
  <si>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</si>
  <si>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</si>
  <si>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</si>
  <si>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</si>
  <si>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</si>
  <si>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</si>
  <si>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</si>
  <si>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</si>
  <si>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</si>
  <si>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</si>
  <si>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</si>
  <si>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</si>
  <si>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</si>
  <si>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</si>
  <si>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</si>
  <si>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</si>
  <si>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</si>
  <si>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</si>
  <si>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</si>
  <si>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</si>
  <si>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</si>
  <si>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</si>
  <si>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</si>
  <si>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</si>
  <si>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</si>
  <si>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</si>
  <si>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</si>
  <si>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</si>
  <si>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</si>
  <si>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</si>
  <si>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</si>
  <si>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</si>
  <si>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</si>
  <si>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</si>
  <si>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</si>
  <si>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</si>
  <si>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</si>
  <si>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</si>
  <si>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</si>
  <si>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</si>
  <si>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</si>
  <si>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</si>
  <si>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</si>
  <si>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</si>
  <si>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</si>
  <si>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</si>
  <si>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</si>
  <si>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</si>
  <si>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</si>
  <si>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</si>
  <si>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</si>
  <si>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</si>
  <si>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</si>
  <si>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</si>
  <si>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</si>
  <si>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</si>
  <si>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</si>
  <si>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</si>
  <si>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</si>
  <si>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</si>
  <si>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</si>
  <si>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</si>
  <si>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</si>
  <si>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</si>
  <si>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</si>
  <si>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</si>
  <si>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</si>
  <si>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</si>
  <si>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</si>
  <si>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</si>
  <si>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</si>
  <si>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</si>
  <si>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</si>
  <si>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</si>
  <si>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</si>
  <si>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</si>
  <si>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</si>
  <si>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</si>
  <si>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</si>
  <si>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</si>
  <si>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</si>
  <si>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</si>
  <si>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</si>
  <si>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</si>
  <si>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</si>
  <si>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</si>
  <si>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</si>
  <si>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</si>
  <si>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</si>
  <si>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</si>
  <si>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</si>
  <si>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</si>
  <si>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</si>
  <si>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</si>
  <si>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</si>
  <si>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</si>
  <si>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</si>
  <si>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</si>
  <si>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</si>
  <si>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</si>
  <si>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</si>
  <si>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</si>
  <si>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</si>
  <si>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</si>
  <si>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</si>
  <si>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</si>
  <si>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</si>
  <si>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</si>
  <si>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</si>
  <si>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</si>
  <si>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</si>
  <si>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</si>
  <si>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</si>
  <si>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</si>
  <si>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</si>
  <si>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</si>
  <si>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</si>
  <si>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</si>
  <si>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</si>
  <si>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</si>
  <si>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</si>
  <si>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</si>
  <si>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</si>
  <si>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</si>
  <si>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</si>
  <si>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</si>
  <si>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</si>
  <si>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</si>
  <si>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</si>
  <si>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</si>
  <si>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</si>
  <si>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</si>
  <si>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</si>
  <si>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</si>
  <si>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</si>
  <si>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</si>
  <si>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</si>
  <si>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</si>
  <si>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</si>
  <si>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</si>
  <si>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</si>
  <si>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</si>
  <si>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</si>
  <si>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</si>
  <si>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</si>
  <si>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</si>
  <si>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</si>
  <si>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</si>
  <si>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</si>
  <si>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</si>
  <si>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</si>
  <si>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</si>
  <si>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</si>
  <si>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</si>
  <si>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</si>
  <si>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</si>
  <si>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</si>
  <si>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</si>
  <si>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</si>
  <si>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</si>
  <si>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</si>
  <si>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</si>
  <si>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</si>
  <si>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</si>
  <si>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</si>
  <si>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</si>
  <si>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</si>
  <si>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</si>
  <si>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</si>
  <si>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</si>
  <si>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</si>
  <si>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</si>
  <si>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</si>
  <si>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</si>
  <si>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</si>
  <si>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</si>
  <si>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</si>
  <si>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</si>
  <si>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</si>
  <si>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</si>
  <si>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</si>
  <si>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</si>
  <si>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</si>
  <si>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</si>
  <si>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</si>
  <si>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</si>
  <si>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</si>
  <si>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</si>
  <si>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</si>
  <si>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</si>
  <si>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</si>
  <si>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</si>
  <si>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</si>
  <si>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</si>
  <si>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</si>
  <si>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</si>
  <si>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</si>
  <si>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</si>
  <si>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</si>
  <si>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</si>
  <si>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</si>
  <si>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</si>
  <si>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</si>
  <si>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</si>
  <si>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</si>
  <si>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</si>
  <si>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</si>
  <si>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</si>
  <si>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</si>
  <si>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</si>
  <si>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</si>
  <si>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</si>
  <si>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</si>
  <si>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</si>
  <si>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</si>
  <si>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</si>
  <si>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</si>
  <si>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</si>
  <si>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</si>
  <si>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</si>
  <si>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</si>
  <si>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</si>
  <si>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</si>
  <si>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</si>
  <si>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</si>
  <si>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</si>
  <si>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</si>
  <si>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</si>
  <si>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</si>
  <si>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</si>
  <si>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</si>
  <si>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</si>
  <si>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</si>
  <si>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</si>
  <si>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</si>
  <si>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</si>
  <si>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</si>
  <si>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</si>
  <si>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</si>
  <si>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</si>
  <si>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</si>
  <si>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</si>
  <si>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</si>
  <si>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</si>
  <si>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</si>
  <si>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</si>
  <si>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</si>
  <si>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</si>
  <si>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</si>
  <si>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</si>
  <si>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</si>
  <si>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</si>
  <si>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</si>
  <si>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</si>
  <si>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</si>
  <si>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</si>
  <si>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</si>
  <si>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</si>
  <si>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</si>
  <si>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</si>
  <si>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</si>
  <si>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</si>
  <si>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</si>
  <si>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</si>
  <si>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</si>
  <si>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</si>
  <si>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</si>
  <si>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</si>
  <si>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</si>
  <si>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</si>
  <si>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</si>
  <si>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</si>
  <si>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</si>
  <si>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</si>
  <si>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</si>
  <si>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</si>
  <si>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</si>
  <si>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</si>
  <si>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</si>
  <si>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</si>
  <si>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</si>
  <si>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</si>
  <si>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</si>
  <si>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</si>
  <si>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</si>
  <si>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</si>
  <si>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</si>
  <si>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</si>
  <si>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</si>
  <si>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</si>
  <si>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</si>
  <si>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</si>
  <si>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</si>
  <si>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</si>
  <si>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</si>
  <si>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</si>
  <si>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</si>
  <si>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</si>
  <si>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</si>
  <si>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</si>
  <si>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</si>
  <si>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</si>
  <si>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</si>
  <si>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</si>
  <si>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</si>
  <si>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</si>
  <si>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</si>
  <si>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</si>
  <si>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</si>
  <si>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</si>
  <si>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</si>
  <si>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</si>
  <si>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</si>
  <si>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</si>
  <si>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</si>
  <si>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</si>
  <si>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</si>
  <si>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</si>
  <si>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</si>
  <si>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</si>
  <si>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</si>
  <si>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</si>
  <si>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</si>
  <si>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</si>
  <si>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</si>
  <si>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</si>
  <si>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</si>
  <si>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</si>
  <si>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</si>
  <si>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</si>
  <si>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</si>
  <si>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</si>
  <si>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</si>
  <si>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</si>
  <si>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</si>
  <si>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</si>
  <si>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</si>
  <si>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</si>
  <si>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</si>
  <si>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</si>
  <si>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</si>
  <si>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</si>
  <si>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</si>
  <si>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</si>
  <si>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</si>
  <si>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</si>
  <si>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</si>
  <si>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</si>
  <si>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</si>
  <si>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</si>
  <si>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</si>
  <si>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</si>
  <si>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</si>
  <si>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</si>
  <si>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</si>
  <si>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</si>
  <si>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</si>
  <si>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</si>
  <si>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</si>
  <si>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</si>
  <si>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</si>
  <si>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</si>
  <si>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</si>
  <si>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</si>
  <si>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</si>
  <si>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</si>
  <si>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</si>
  <si>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</si>
  <si>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</si>
  <si>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</si>
  <si>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</si>
  <si>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</si>
  <si>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</si>
  <si>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</si>
  <si>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</si>
  <si>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</si>
  <si>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</si>
  <si>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</si>
  <si>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</si>
  <si>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</si>
  <si>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</si>
  <si>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</si>
  <si>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</si>
  <si>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</si>
  <si>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</si>
  <si>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</si>
  <si>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</si>
  <si>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</si>
  <si>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</si>
  <si>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</si>
  <si>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</si>
  <si>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</si>
  <si>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</si>
  <si>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</si>
  <si>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</si>
  <si>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</si>
  <si>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</si>
  <si>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</si>
  <si>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</si>
  <si>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</si>
  <si>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</si>
  <si>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</si>
  <si>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</si>
  <si>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</si>
  <si>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</si>
  <si>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</si>
  <si>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</si>
  <si>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</si>
  <si>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</si>
  <si>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</si>
  <si>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</si>
  <si>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</si>
  <si>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</si>
  <si>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</si>
  <si>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</si>
  <si>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</si>
  <si>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</si>
  <si>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</si>
  <si>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</si>
  <si>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</si>
  <si>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</si>
  <si>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</si>
  <si>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</si>
  <si>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</si>
  <si>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</si>
  <si>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</si>
  <si>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</si>
  <si>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</si>
  <si>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</si>
  <si>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</si>
  <si>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</si>
  <si>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</si>
  <si>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</si>
  <si>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</si>
  <si>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</si>
  <si>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</si>
  <si>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</si>
  <si>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</si>
  <si>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</si>
  <si>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</si>
  <si>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</si>
  <si>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</si>
  <si>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</si>
  <si>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</si>
  <si>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</si>
  <si>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</si>
  <si>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</si>
  <si>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</si>
  <si>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</si>
  <si>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</si>
  <si>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</si>
  <si>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</si>
  <si>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</si>
  <si>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</si>
  <si>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</si>
  <si>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</si>
  <si>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</si>
  <si>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</si>
  <si>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</si>
  <si>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</si>
  <si>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</si>
  <si>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</si>
  <si>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</si>
  <si>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</si>
  <si>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</si>
  <si>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</si>
  <si>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</si>
  <si>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</si>
  <si>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</si>
  <si>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</si>
  <si>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</si>
  <si>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</si>
  <si>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</si>
  <si>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</si>
  <si>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</si>
  <si>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</si>
  <si>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</si>
  <si>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</si>
  <si>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</si>
  <si>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</si>
  <si>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</si>
  <si>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</si>
  <si>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</si>
  <si>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</si>
  <si>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</si>
  <si>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</si>
  <si>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</si>
  <si>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</si>
  <si>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</si>
  <si>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</si>
  <si>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</si>
  <si>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</si>
  <si>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</si>
  <si>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</si>
  <si>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</si>
  <si>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</si>
  <si>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</si>
  <si>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</si>
  <si>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</si>
  <si>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</si>
  <si>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</si>
  <si>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</si>
  <si>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</si>
  <si>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</si>
  <si>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</si>
  <si>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</si>
  <si>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</si>
  <si>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</si>
  <si>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</si>
  <si>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</si>
  <si>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</si>
  <si>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</si>
  <si>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</si>
  <si>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</si>
  <si>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</si>
  <si>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</si>
  <si>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</si>
  <si>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</si>
  <si>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</si>
  <si>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</si>
  <si>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</si>
  <si>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</si>
  <si>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</si>
  <si>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</si>
  <si>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</si>
  <si>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</si>
  <si>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</si>
  <si>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</si>
  <si>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</si>
  <si>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</si>
  <si>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</si>
  <si>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</si>
  <si>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</si>
  <si>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</si>
  <si>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</si>
  <si>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</si>
  <si>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</si>
  <si>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</si>
  <si>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</si>
  <si>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</si>
  <si>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</si>
  <si>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</si>
  <si>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</si>
  <si>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</si>
  <si>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</si>
  <si>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</si>
  <si>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</si>
  <si>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</si>
  <si>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</si>
  <si>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</si>
  <si>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</si>
  <si>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</si>
  <si>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</si>
  <si>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</si>
  <si>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</si>
  <si>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</si>
  <si>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</si>
  <si>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</si>
  <si>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</si>
  <si>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</si>
  <si>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</si>
  <si>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</si>
  <si>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</si>
  <si>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</si>
  <si>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</si>
  <si>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</si>
  <si>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</si>
  <si>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</si>
  <si>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</si>
  <si>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</si>
  <si>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</si>
  <si>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</si>
  <si>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</si>
  <si>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</si>
  <si>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</si>
  <si>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</si>
  <si>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</si>
  <si>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</si>
  <si>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</si>
  <si>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</si>
  <si>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</si>
  <si>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</si>
  <si>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</si>
  <si>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</si>
  <si>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</si>
  <si>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</si>
  <si>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</si>
  <si>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</si>
  <si>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</si>
  <si>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</si>
  <si>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</si>
  <si>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</si>
  <si>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</si>
  <si>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</si>
  <si>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</si>
  <si>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</si>
  <si>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</si>
  <si>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</si>
  <si>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</si>
  <si>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</si>
  <si>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</si>
  <si>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</si>
  <si>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</si>
  <si>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</si>
  <si>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</si>
  <si>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</si>
  <si>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</si>
  <si>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</si>
  <si>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</si>
  <si>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</si>
  <si>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</si>
  <si>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</si>
  <si>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</si>
  <si>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</si>
  <si>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</si>
  <si>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</si>
  <si>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</si>
  <si>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</si>
  <si>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</si>
  <si>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</si>
  <si>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</si>
  <si>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</si>
  <si>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</si>
  <si>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</si>
  <si>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</si>
  <si>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</si>
  <si>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</si>
  <si>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</si>
  <si>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</si>
  <si>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</si>
  <si>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</si>
  <si>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</si>
  <si>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</si>
  <si>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</si>
  <si>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</si>
  <si>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</si>
  <si>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</si>
  <si>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</si>
  <si>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</si>
  <si>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</si>
  <si>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</si>
  <si>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</si>
  <si>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</si>
  <si>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</si>
  <si>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</si>
  <si>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</si>
  <si>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</si>
  <si>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</si>
  <si>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</si>
  <si>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</si>
  <si>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</si>
  <si>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</si>
  <si>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</si>
  <si>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</si>
  <si>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</si>
  <si>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</si>
  <si>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</si>
  <si>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</si>
  <si>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</si>
  <si>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</si>
  <si>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</si>
  <si>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</si>
  <si>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</si>
  <si>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</si>
  <si>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</si>
  <si>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</si>
  <si>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</si>
  <si>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</si>
  <si>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</si>
  <si>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</si>
  <si>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</si>
  <si>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</si>
  <si>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</si>
  <si>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</si>
  <si>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</si>
  <si>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</si>
  <si>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</si>
  <si>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</si>
  <si>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</si>
  <si>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</si>
  <si>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</si>
  <si>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</si>
  <si>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</si>
  <si>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</si>
  <si>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</si>
  <si>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</si>
  <si>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</si>
  <si>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</si>
  <si>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</si>
  <si>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</si>
  <si>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</si>
  <si>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</si>
  <si>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</si>
  <si>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</si>
  <si>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</si>
  <si>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</si>
  <si>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</si>
  <si>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</si>
  <si>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</si>
  <si>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</si>
  <si>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</si>
  <si>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</si>
  <si>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</si>
  <si>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</si>
  <si>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</si>
  <si>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</si>
  <si>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</si>
  <si>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</si>
  <si>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</si>
  <si>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</si>
  <si>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</si>
  <si>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</si>
  <si>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</si>
  <si>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</si>
  <si>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</si>
  <si>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</si>
  <si>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</si>
  <si>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</si>
  <si>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</si>
  <si>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</si>
  <si>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</si>
  <si>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</si>
  <si>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</si>
  <si>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</si>
  <si>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</si>
  <si>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</si>
  <si>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</si>
  <si>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</si>
  <si>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</si>
  <si>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</si>
  <si>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</si>
  <si>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</si>
  <si>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</si>
  <si>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</si>
  <si>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</si>
  <si>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</si>
  <si>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</si>
  <si>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</si>
  <si>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</si>
  <si>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</si>
  <si>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</si>
  <si>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</si>
  <si>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</si>
  <si>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</si>
  <si>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</si>
  <si>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</si>
  <si>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</si>
  <si>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</si>
  <si>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</si>
  <si>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</si>
  <si>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</si>
  <si>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</si>
  <si>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</si>
  <si>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</si>
  <si>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</si>
  <si>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</si>
  <si>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</si>
  <si>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</si>
  <si>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</si>
  <si>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</si>
  <si>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</si>
  <si>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</si>
  <si>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</si>
  <si>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</si>
  <si>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</si>
  <si>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</si>
  <si>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</si>
  <si>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</si>
  <si>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</si>
  <si>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</si>
  <si>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</si>
  <si>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</si>
  <si>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</si>
  <si>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</si>
  <si>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</si>
  <si>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</si>
  <si>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</si>
  <si>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</si>
  <si>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</si>
  <si>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</si>
  <si>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</si>
  <si>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</si>
  <si>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</si>
  <si>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</si>
  <si>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</si>
  <si>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</si>
  <si>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</si>
  <si>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</si>
  <si>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</si>
  <si>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</si>
  <si>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</si>
  <si>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</si>
  <si>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</si>
  <si>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</si>
  <si>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</si>
  <si>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</si>
  <si>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</si>
  <si>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</si>
  <si>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</si>
  <si>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</si>
  <si>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</si>
  <si>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</si>
  <si>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</si>
  <si>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</si>
  <si>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</si>
  <si>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</si>
  <si>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</si>
  <si>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</si>
  <si>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</si>
  <si>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</si>
  <si>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</si>
  <si>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</si>
  <si>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</si>
  <si>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</si>
  <si>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</si>
  <si>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</si>
  <si>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</si>
  <si>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</si>
  <si>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</si>
  <si>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</si>
  <si>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</si>
  <si>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</si>
  <si>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</si>
  <si>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</si>
  <si>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</si>
  <si>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</si>
  <si>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</si>
  <si>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</si>
  <si>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</si>
  <si>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</si>
  <si>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</si>
  <si>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</si>
  <si>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</si>
  <si>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</si>
  <si>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</si>
  <si>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</si>
  <si>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</si>
  <si>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</si>
  <si>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</si>
  <si>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</si>
  <si>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</si>
  <si>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</si>
  <si>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</si>
  <si>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</si>
  <si>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</si>
  <si>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</si>
  <si>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</si>
  <si>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</si>
  <si>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</si>
  <si>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</si>
  <si>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</si>
  <si>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</si>
  <si>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</si>
  <si>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</si>
  <si>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</si>
  <si>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</si>
  <si>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</si>
  <si>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</si>
  <si>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</si>
  <si>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</si>
  <si>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</si>
  <si>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</si>
  <si>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</si>
  <si>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</si>
  <si>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</si>
  <si>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</si>
  <si>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</si>
  <si>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</si>
  <si>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</si>
  <si>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</si>
  <si>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</si>
  <si>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</si>
  <si>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</si>
  <si>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</si>
  <si>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</si>
  <si>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</si>
  <si>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</si>
  <si>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</si>
  <si>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</si>
  <si>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</si>
  <si>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</si>
  <si>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</si>
  <si>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</si>
  <si>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</si>
  <si>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</si>
  <si>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</si>
  <si>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</si>
  <si>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</si>
  <si>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</si>
  <si>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</si>
  <si>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</si>
  <si>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</si>
  <si>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</si>
  <si>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</si>
  <si>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</si>
  <si>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</si>
  <si>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</si>
  <si>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</si>
  <si>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</si>
  <si>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</si>
  <si>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</si>
  <si>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</si>
  <si>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</si>
  <si>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</si>
  <si>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</si>
  <si>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</si>
  <si>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</si>
  <si>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</si>
  <si>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</si>
  <si>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</si>
  <si>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</si>
  <si>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</si>
  <si>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</si>
  <si>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</si>
  <si>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</si>
  <si>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</si>
  <si>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</si>
  <si>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</si>
  <si>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</si>
  <si>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</si>
  <si>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</si>
  <si>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</si>
  <si>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</si>
  <si>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</si>
  <si>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</si>
  <si>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</si>
  <si>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</si>
  <si>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</si>
  <si>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</si>
  <si>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</si>
  <si>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</si>
  <si>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</si>
  <si>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</si>
  <si>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</si>
  <si>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</si>
  <si>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</si>
  <si>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</si>
  <si>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</si>
  <si>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</si>
  <si>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</si>
  <si>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</si>
  <si>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</si>
  <si>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</si>
  <si>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</si>
  <si>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</si>
  <si>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</si>
  <si>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</si>
  <si>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</si>
  <si>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</si>
  <si>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</si>
  <si>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</si>
  <si>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</si>
  <si>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</si>
  <si>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</si>
  <si>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</si>
  <si>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</si>
  <si>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</si>
  <si>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</si>
  <si>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</si>
  <si>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</si>
  <si>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</si>
  <si>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</si>
  <si>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</si>
  <si>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</si>
  <si>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</si>
  <si>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</si>
  <si>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</si>
  <si>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</si>
  <si>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</si>
  <si>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</si>
  <si>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</si>
  <si>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</si>
  <si>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</si>
  <si>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</si>
  <si>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</si>
  <si>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</si>
  <si>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</si>
  <si>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</si>
  <si>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</si>
  <si>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</si>
  <si>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</si>
  <si>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</si>
  <si>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</si>
  <si>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</si>
  <si>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</si>
  <si>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</si>
  <si>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</si>
  <si>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</si>
  <si>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</si>
  <si>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</si>
  <si>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</si>
  <si>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</si>
  <si>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</si>
  <si>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</si>
  <si>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</si>
  <si>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</si>
  <si>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</si>
  <si>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</si>
  <si>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</si>
  <si>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</si>
  <si>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</si>
  <si>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</si>
  <si>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</si>
  <si>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</si>
  <si>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</si>
  <si>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</si>
  <si>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</si>
  <si>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</si>
  <si>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</si>
  <si>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</si>
  <si>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</si>
  <si>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</si>
  <si>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</si>
  <si>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</si>
  <si>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</si>
  <si>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</si>
  <si>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</si>
  <si>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</si>
  <si>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</si>
  <si>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</si>
  <si>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</si>
  <si>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</si>
  <si>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</si>
  <si>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</si>
  <si>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</si>
  <si>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</si>
  <si>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</si>
  <si>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</si>
  <si>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</si>
  <si>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</si>
  <si>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</si>
  <si>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</si>
  <si>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</si>
  <si>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</si>
  <si>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</si>
  <si>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</si>
  <si>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</si>
  <si>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</si>
  <si>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</si>
  <si>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</si>
  <si>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</si>
  <si>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</si>
  <si>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</si>
  <si>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</si>
  <si>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</si>
  <si>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</si>
  <si>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</si>
  <si>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</si>
  <si>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</si>
  <si>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</si>
  <si>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</si>
  <si>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</si>
  <si>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</si>
  <si>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</si>
  <si>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</si>
  <si>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</si>
  <si>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</si>
  <si>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</si>
  <si>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</si>
  <si>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</si>
  <si>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</si>
  <si>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</si>
  <si>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</si>
  <si>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</si>
  <si>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</si>
  <si>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</si>
  <si>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</si>
  <si>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</si>
  <si>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</si>
  <si>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</si>
  <si>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</si>
  <si>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</si>
  <si>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</si>
  <si>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</si>
  <si>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</si>
  <si>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</si>
  <si>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</si>
  <si>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</si>
  <si>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</si>
  <si>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</si>
  <si>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</si>
  <si>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</si>
  <si>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</si>
  <si>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</si>
  <si>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</si>
  <si>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</si>
  <si>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</si>
  <si>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</si>
  <si>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</si>
  <si>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</si>
  <si>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</si>
  <si>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</si>
  <si>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</si>
  <si>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</si>
  <si>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</si>
  <si>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</si>
  <si>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</si>
  <si>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</si>
  <si>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</si>
  <si>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</si>
  <si>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</si>
  <si>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</si>
  <si>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</si>
  <si>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</si>
  <si>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</si>
  <si>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</si>
  <si>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</si>
  <si>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</si>
  <si>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</si>
  <si>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</si>
  <si>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</si>
  <si>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</si>
  <si>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</si>
  <si>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</si>
  <si>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</si>
  <si>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</si>
  <si>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</si>
  <si>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</si>
  <si>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</si>
  <si>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</si>
  <si>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</si>
  <si>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</si>
  <si>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</si>
  <si>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</si>
  <si>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</si>
  <si>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</si>
  <si>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</si>
  <si>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</si>
  <si>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</si>
  <si>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</si>
  <si>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</si>
  <si>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</si>
  <si>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</si>
  <si>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</si>
  <si>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</si>
  <si>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</si>
  <si>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</si>
  <si>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</si>
  <si>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</si>
  <si>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</si>
  <si>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</si>
  <si>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</si>
  <si>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</si>
  <si>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</si>
  <si>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</si>
  <si>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</si>
  <si>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</si>
  <si>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</si>
  <si>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</si>
  <si>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</si>
  <si>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</si>
  <si>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</si>
  <si>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</si>
  <si>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</si>
  <si>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</si>
  <si>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</si>
  <si>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</si>
  <si>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</si>
  <si>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</si>
  <si>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</si>
  <si>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</si>
  <si>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</si>
  <si>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</si>
  <si>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</si>
  <si>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</si>
  <si>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</si>
  <si>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</si>
  <si>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</si>
  <si>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</si>
  <si>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</si>
  <si>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</si>
  <si>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</si>
  <si>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</si>
  <si>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</si>
  <si>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</si>
  <si>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</si>
  <si>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</si>
  <si>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</si>
  <si>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</si>
  <si>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</si>
  <si>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</si>
  <si>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</si>
  <si>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</si>
  <si>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</si>
  <si>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</si>
  <si>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</si>
  <si>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</si>
  <si>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</si>
  <si>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</si>
  <si>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</si>
  <si>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</si>
  <si>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</si>
  <si>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</si>
  <si>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</si>
  <si>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</si>
  <si>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</si>
  <si>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</si>
  <si>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</si>
  <si>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</si>
  <si>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</si>
  <si>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</si>
  <si>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</si>
  <si>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</si>
  <si>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</si>
  <si>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</si>
  <si>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</si>
  <si>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</si>
  <si>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</si>
  <si>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</si>
  <si>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</si>
  <si>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</si>
  <si>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</si>
  <si>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</si>
  <si>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</si>
  <si>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</si>
  <si>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</si>
  <si>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</si>
  <si>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</si>
  <si>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</si>
  <si>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</si>
  <si>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</si>
  <si>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</si>
  <si>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</si>
  <si>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</si>
  <si>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</si>
  <si>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</si>
  <si>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</si>
  <si>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</si>
  <si>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</si>
  <si>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</si>
  <si>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</si>
  <si>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</si>
  <si>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</si>
  <si>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</si>
  <si>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</si>
  <si>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</si>
  <si>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</si>
  <si>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</si>
  <si>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</si>
  <si>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</si>
  <si>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</si>
  <si>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</si>
  <si>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</si>
  <si>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</si>
  <si>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</si>
  <si>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</si>
  <si>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</si>
  <si>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</si>
  <si>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</si>
  <si>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</si>
  <si>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</si>
  <si>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</si>
  <si>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</si>
  <si>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</si>
  <si>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</si>
  <si>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</si>
  <si>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</si>
  <si>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</si>
  <si>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</si>
  <si>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</si>
  <si>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</si>
  <si>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</si>
  <si>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</si>
  <si>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</si>
  <si>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</si>
  <si>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</si>
  <si>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</si>
  <si>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</si>
  <si>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</si>
  <si>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</si>
  <si>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</si>
  <si>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</si>
  <si>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</si>
  <si>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</si>
  <si>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</si>
  <si>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</si>
  <si>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</si>
  <si>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</si>
  <si>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</si>
  <si>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</si>
  <si>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</si>
  <si>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</si>
  <si>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</si>
  <si>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</si>
  <si>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</si>
  <si>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</si>
  <si>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</si>
  <si>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</si>
  <si>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</si>
  <si>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</si>
  <si>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</si>
  <si>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</si>
  <si>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</si>
  <si>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</si>
  <si>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</si>
  <si>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</si>
  <si>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</si>
  <si>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</si>
  <si>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</si>
  <si>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</si>
  <si>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</si>
  <si>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</si>
  <si>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</si>
  <si>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</si>
  <si>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</si>
  <si>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</si>
  <si>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</si>
  <si>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</si>
  <si>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</si>
  <si>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</si>
  <si>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</si>
  <si>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</si>
  <si>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</si>
  <si>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</si>
  <si>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</si>
  <si>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</si>
  <si>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</si>
  <si>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</si>
  <si>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</si>
  <si>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</si>
  <si>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</si>
  <si>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</si>
  <si>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</si>
  <si>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</si>
  <si>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</si>
  <si>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</si>
  <si>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</si>
  <si>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</si>
  <si>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</si>
  <si>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</si>
  <si>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</si>
  <si>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</si>
  <si>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</si>
  <si>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</si>
  <si>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</si>
  <si>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</si>
  <si>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</si>
  <si>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</si>
  <si>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</si>
  <si>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</si>
  <si>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</si>
  <si>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</si>
  <si>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</si>
  <si>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</si>
  <si>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</si>
  <si>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</si>
  <si>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</si>
  <si>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</si>
  <si>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</si>
  <si>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</si>
  <si>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</si>
  <si>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</si>
  <si>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</si>
  <si>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</si>
  <si>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</si>
  <si>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</si>
  <si>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</si>
  <si>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</si>
  <si>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</si>
  <si>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</si>
  <si>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</si>
  <si>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</si>
  <si>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</si>
  <si>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</si>
  <si>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</si>
  <si>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</si>
  <si>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</si>
  <si>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</si>
  <si>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</si>
  <si>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</si>
  <si>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</si>
  <si>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</si>
  <si>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</si>
  <si>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</si>
  <si>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</si>
  <si>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</si>
  <si>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</si>
  <si>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</si>
  <si>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</si>
  <si>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</si>
  <si>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</si>
  <si>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</si>
  <si>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</si>
  <si>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</si>
  <si>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</si>
  <si>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</si>
  <si>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</si>
  <si>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</si>
  <si>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</si>
  <si>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</si>
  <si>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</si>
  <si>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</si>
  <si>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</si>
  <si>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</si>
  <si>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</si>
  <si>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</si>
  <si>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</si>
  <si>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</si>
  <si>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</si>
  <si>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</si>
  <si>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</si>
  <si>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</si>
  <si>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</si>
  <si>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</si>
  <si>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</si>
  <si>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</si>
  <si>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</si>
  <si>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</si>
  <si>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</si>
  <si>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</si>
  <si>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</si>
  <si>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</si>
  <si>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</si>
  <si>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</si>
  <si>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</si>
  <si>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</si>
  <si>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</si>
  <si>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</si>
  <si>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</si>
  <si>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</si>
  <si>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</si>
  <si>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</si>
  <si>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</si>
  <si>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</si>
  <si>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</si>
  <si>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</si>
  <si>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</si>
  <si>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</si>
  <si>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</si>
  <si>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</si>
  <si>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</si>
  <si>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</si>
  <si>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</si>
  <si>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</si>
  <si>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</si>
  <si>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</si>
  <si>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</si>
  <si>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</si>
  <si>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</si>
  <si>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</si>
  <si>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</si>
  <si>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</si>
  <si>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</si>
  <si>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</si>
  <si>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</si>
  <si>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</si>
  <si>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</si>
  <si>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</si>
  <si>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</si>
  <si>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</si>
  <si>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</si>
  <si>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</si>
  <si>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</si>
  <si>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</si>
  <si>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</si>
  <si>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</si>
  <si>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</si>
  <si>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</si>
  <si>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</si>
  <si>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</si>
  <si>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</si>
  <si>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</si>
  <si>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</si>
  <si>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</si>
  <si>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</si>
  <si>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</si>
  <si>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</si>
  <si>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</si>
  <si>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</si>
  <si>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</si>
  <si>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</si>
  <si>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</si>
  <si>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</si>
  <si>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</si>
  <si>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</si>
  <si>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</si>
  <si>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</si>
  <si>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</si>
  <si>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</si>
  <si>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</si>
  <si>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</si>
  <si>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</si>
  <si>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</si>
  <si>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</si>
  <si>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</si>
  <si>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</si>
  <si>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</si>
  <si>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</si>
  <si>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</si>
  <si>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</si>
  <si>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</si>
  <si>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</si>
  <si>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</si>
  <si>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</si>
  <si>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</si>
  <si>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</si>
  <si>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</si>
  <si>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</si>
  <si>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</si>
  <si>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</si>
  <si>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</si>
  <si>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</si>
  <si>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</si>
  <si>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</si>
  <si>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</si>
  <si>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</si>
  <si>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</si>
  <si>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</si>
  <si>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</si>
  <si>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</si>
  <si>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</si>
  <si>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</si>
  <si>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</si>
  <si>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</si>
  <si>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</si>
  <si>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</si>
  <si>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</si>
  <si>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</si>
  <si>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</si>
  <si>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</si>
  <si>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</si>
  <si>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</si>
  <si>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</si>
  <si>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</si>
  <si>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</si>
  <si>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</si>
  <si>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</si>
  <si>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</si>
  <si>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</si>
  <si>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</si>
  <si>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</si>
  <si>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</si>
  <si>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</si>
  <si>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</si>
  <si>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</si>
  <si>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</si>
  <si>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</si>
  <si>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</si>
  <si>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</si>
  <si>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</si>
  <si>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</si>
  <si>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</si>
  <si>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</si>
  <si>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</si>
  <si>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</si>
  <si>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</si>
  <si>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</si>
  <si>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</si>
  <si>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</si>
  <si>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</si>
  <si>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</si>
  <si>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</si>
  <si>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</si>
  <si>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</si>
  <si>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</si>
  <si>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</si>
  <si>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</si>
  <si>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</si>
  <si>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</si>
  <si>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</si>
  <si>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</si>
  <si>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</si>
  <si>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</si>
  <si>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</si>
  <si>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</si>
  <si>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</si>
  <si>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</si>
  <si>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</si>
  <si>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</si>
  <si>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</si>
  <si>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</si>
  <si>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</si>
  <si>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</si>
  <si>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</si>
  <si>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</si>
  <si>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</si>
  <si>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</si>
  <si>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</si>
  <si>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</si>
  <si>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</si>
  <si>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</si>
  <si>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</si>
  <si>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</si>
  <si>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</si>
  <si>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</si>
  <si>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</si>
  <si>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</si>
  <si>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</si>
  <si>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</si>
  <si>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</si>
  <si>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</si>
  <si>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</si>
  <si>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</si>
  <si>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</si>
  <si>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</si>
  <si>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</si>
  <si>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</si>
  <si>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</si>
  <si>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</si>
  <si>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</si>
  <si>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</si>
  <si>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</si>
  <si>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</si>
  <si>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</si>
  <si>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</si>
  <si>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</si>
  <si>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</si>
  <si>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</si>
  <si>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</si>
  <si>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</si>
  <si>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</si>
  <si>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</si>
  <si>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</si>
  <si>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</si>
  <si>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</si>
  <si>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</si>
  <si>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</si>
  <si>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</si>
  <si>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</si>
  <si>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</si>
  <si>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</si>
  <si>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</si>
  <si>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</si>
  <si>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</si>
  <si>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</si>
  <si>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</si>
  <si>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</si>
  <si>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</si>
  <si>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</si>
  <si>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</si>
  <si>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</si>
  <si>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</si>
  <si>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</si>
  <si>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</si>
  <si>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</si>
  <si>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</si>
  <si>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</si>
  <si>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</si>
  <si>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</si>
  <si>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</si>
  <si>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</si>
  <si>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</si>
  <si>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</si>
  <si>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</si>
  <si>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</si>
  <si>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</si>
  <si>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</si>
  <si>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</si>
  <si>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</si>
  <si>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</si>
  <si>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</si>
  <si>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</si>
  <si>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</si>
  <si>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</si>
  <si>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</si>
  <si>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</si>
  <si>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</si>
  <si>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</si>
  <si>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</si>
  <si>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</si>
  <si>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</si>
  <si>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</si>
  <si>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</si>
  <si>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</si>
  <si>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</si>
  <si>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</si>
  <si>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</si>
  <si>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</si>
  <si>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</si>
  <si>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</si>
  <si>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</si>
  <si>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</si>
  <si>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</si>
  <si>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</si>
  <si>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</si>
  <si>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</si>
  <si>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</si>
  <si>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</si>
  <si>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</si>
  <si>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</si>
  <si>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</si>
  <si>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</si>
  <si>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</si>
  <si>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</si>
  <si>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</si>
  <si>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</si>
  <si>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</si>
  <si>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</si>
  <si>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</si>
  <si>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</si>
  <si>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</si>
  <si>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</si>
  <si>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</si>
  <si>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</si>
  <si>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</si>
  <si>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</si>
  <si>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</si>
  <si>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</si>
  <si>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</si>
  <si>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</si>
  <si>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</si>
  <si>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</si>
  <si>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</si>
  <si>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</si>
  <si>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</si>
  <si>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</si>
  <si>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</si>
  <si>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</si>
  <si>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</si>
  <si>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</si>
  <si>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</si>
  <si>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</si>
  <si>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</si>
  <si>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</si>
  <si>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</si>
  <si>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</si>
  <si>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</si>
  <si>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</si>
  <si>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</si>
  <si>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</si>
  <si>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</si>
  <si>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</si>
  <si>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</si>
  <si>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</si>
  <si>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</si>
  <si>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</si>
  <si>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</si>
  <si>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</si>
  <si>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</si>
  <si>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</si>
  <si>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</si>
  <si>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</si>
  <si>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</si>
  <si>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</si>
  <si>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</si>
  <si>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</si>
  <si>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</si>
  <si>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</si>
  <si>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</si>
  <si>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</si>
  <si>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</si>
  <si>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</si>
  <si>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</si>
  <si>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</si>
  <si>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</si>
  <si>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</si>
  <si>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</si>
  <si>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</si>
  <si>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</si>
  <si>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</si>
  <si>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</si>
  <si>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</si>
  <si>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</si>
  <si>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</si>
  <si>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</si>
  <si>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</si>
  <si>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</si>
  <si>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</si>
  <si>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</si>
  <si>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</si>
  <si>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</si>
  <si>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</si>
  <si>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</si>
  <si>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</si>
  <si>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</si>
  <si>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</si>
  <si>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</si>
  <si>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</si>
  <si>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</si>
  <si>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</si>
  <si>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</si>
  <si>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</si>
  <si>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</si>
  <si>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</si>
  <si>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</si>
  <si>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</si>
  <si>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</si>
  <si>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</si>
  <si>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</si>
  <si>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</si>
  <si>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</si>
  <si>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</si>
  <si>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</si>
  <si>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</si>
  <si>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</si>
  <si>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</si>
  <si>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</si>
  <si>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</si>
  <si>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</si>
  <si>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</si>
  <si>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</si>
  <si>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</si>
  <si>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</si>
  <si>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</si>
  <si>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</si>
  <si>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</si>
  <si>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</si>
  <si>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</si>
  <si>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</si>
  <si>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</si>
  <si>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</si>
  <si>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</si>
  <si>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</si>
  <si>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</si>
  <si>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</si>
  <si>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</si>
  <si>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</si>
  <si>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</si>
  <si>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</si>
  <si>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</si>
  <si>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</si>
  <si>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</si>
  <si>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</si>
  <si>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</si>
  <si>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</si>
  <si>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</si>
  <si>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</si>
  <si>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</si>
  <si>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</si>
  <si>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</si>
  <si>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</si>
  <si>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</si>
  <si>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</si>
  <si>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</si>
  <si>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</si>
  <si>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</si>
  <si>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</si>
  <si>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</si>
  <si>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</si>
  <si>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</si>
  <si>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</si>
  <si>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</si>
  <si>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</si>
  <si>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</si>
  <si>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</si>
  <si>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</si>
  <si>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</si>
  <si>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</si>
  <si>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</si>
  <si>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</si>
  <si>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</si>
  <si>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</si>
  <si>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</si>
  <si>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</si>
  <si>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</si>
  <si>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</si>
  <si>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</si>
  <si>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</si>
  <si>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</si>
  <si>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</si>
  <si>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</si>
  <si>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</si>
  <si>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</si>
  <si>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</si>
  <si>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</si>
  <si>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</si>
  <si>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</si>
  <si>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</si>
  <si>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</si>
  <si>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</si>
  <si>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</si>
  <si>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</si>
  <si>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</si>
  <si>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</si>
  <si>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</si>
  <si>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</si>
  <si>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</si>
  <si>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</si>
  <si>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</si>
  <si>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</si>
  <si>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</si>
  <si>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</si>
  <si>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</si>
  <si>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</si>
  <si>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</si>
  <si>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</si>
  <si>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</si>
  <si>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</si>
  <si>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</si>
  <si>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</si>
  <si>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</si>
  <si>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</si>
  <si>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</si>
  <si>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</si>
  <si>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</si>
  <si>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</si>
  <si>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</si>
  <si>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</si>
  <si>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</si>
  <si>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</si>
  <si>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</si>
  <si>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</si>
  <si>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</si>
  <si>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</si>
  <si>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</si>
  <si>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</si>
  <si>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</si>
  <si>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</si>
  <si>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</si>
  <si>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</si>
  <si>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</si>
  <si>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</si>
  <si>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</si>
  <si>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</si>
  <si>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</si>
  <si>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</si>
  <si>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</si>
  <si>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</si>
  <si>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</si>
  <si>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</si>
  <si>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</si>
  <si>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</si>
  <si>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</si>
  <si>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</si>
  <si>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</si>
  <si>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</si>
  <si>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</si>
  <si>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</si>
  <si>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</si>
  <si>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</si>
  <si>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</si>
  <si>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</si>
  <si>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</si>
  <si>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</si>
  <si>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</si>
  <si>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</si>
  <si>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</si>
  <si>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</si>
  <si>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</si>
  <si>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</si>
  <si>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</si>
  <si>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</si>
  <si>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</si>
  <si>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</si>
  <si>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</si>
  <si>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</si>
  <si>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</si>
  <si>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</si>
  <si>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</si>
  <si>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</si>
  <si>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</si>
  <si>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</si>
  <si>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</si>
  <si>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</si>
  <si>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</si>
  <si>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</si>
  <si>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</si>
  <si>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</si>
  <si>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</si>
  <si>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</si>
  <si>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</si>
  <si>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</si>
  <si>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</si>
  <si>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</si>
  <si>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</si>
  <si>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</si>
  <si>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</si>
  <si>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</si>
  <si>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</si>
  <si>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</si>
  <si>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</si>
  <si>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</si>
  <si>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</si>
  <si>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</si>
  <si>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</si>
  <si>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</si>
  <si>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</si>
  <si>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</si>
  <si>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</si>
  <si>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</si>
  <si>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</si>
  <si>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</si>
  <si>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</si>
  <si>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</si>
  <si>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</si>
  <si>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</si>
  <si>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</si>
  <si>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</si>
  <si>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</si>
  <si>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</si>
  <si>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</si>
  <si>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</si>
  <si>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</si>
  <si>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</si>
  <si>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</si>
  <si>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</si>
  <si>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</si>
  <si>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</si>
  <si>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</si>
  <si>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</si>
  <si>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</si>
  <si>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</si>
  <si>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</si>
  <si>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</si>
  <si>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</si>
  <si>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</si>
  <si>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</si>
  <si>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</si>
  <si>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</si>
  <si>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</si>
  <si>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</si>
  <si>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</si>
  <si>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</si>
  <si>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</si>
  <si>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</si>
  <si>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</si>
  <si>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</si>
  <si>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</si>
  <si>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</si>
  <si>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</si>
  <si>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</si>
  <si>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</si>
  <si>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</si>
  <si>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</si>
  <si>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</si>
  <si>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</si>
  <si>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</si>
  <si>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</si>
  <si>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</si>
  <si>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</si>
  <si>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</si>
  <si>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</si>
  <si>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</si>
  <si>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</si>
  <si>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</si>
  <si>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</si>
  <si>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</si>
  <si>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</si>
  <si>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</si>
  <si>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</si>
  <si>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</si>
  <si>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</si>
  <si>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</si>
  <si>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</si>
  <si>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</si>
  <si>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</si>
  <si>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</si>
  <si>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</si>
  <si>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</si>
  <si>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</si>
  <si>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</si>
  <si>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</si>
  <si>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</si>
  <si>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</si>
  <si>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</si>
  <si>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</si>
  <si>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</si>
  <si>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</si>
  <si>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</si>
  <si>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</si>
  <si>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</si>
  <si>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</si>
  <si>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</si>
  <si>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</si>
  <si>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</si>
  <si>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</si>
  <si>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</si>
  <si>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</si>
  <si>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</si>
  <si>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</si>
  <si>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</si>
  <si>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</si>
  <si>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</si>
  <si>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</si>
  <si>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</si>
  <si>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</si>
  <si>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</si>
  <si>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</si>
  <si>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</si>
  <si>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</si>
  <si>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</si>
  <si>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</si>
  <si>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</si>
  <si>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</si>
  <si>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</si>
  <si>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</si>
  <si>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</si>
  <si>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</si>
  <si>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</si>
  <si>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</si>
  <si>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</si>
  <si>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</si>
  <si>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</si>
  <si>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</si>
  <si>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</si>
  <si>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</si>
  <si>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</si>
  <si>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</si>
  <si>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</si>
  <si>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</si>
  <si>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</si>
  <si>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</si>
  <si>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</si>
  <si>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</si>
  <si>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</si>
  <si>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</si>
  <si>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</si>
  <si>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</si>
  <si>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</si>
  <si>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</si>
  <si>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</si>
  <si>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</si>
  <si>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</si>
  <si>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</si>
  <si>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</si>
  <si>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</si>
  <si>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</si>
  <si>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</si>
  <si>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</si>
  <si>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</si>
  <si>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</si>
  <si>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</si>
  <si>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</si>
  <si>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</si>
  <si>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</si>
  <si>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</si>
  <si>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</si>
  <si>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</si>
  <si>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</si>
  <si>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</si>
  <si>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</si>
  <si>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</si>
  <si>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</si>
  <si>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</si>
  <si>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</si>
  <si>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</si>
  <si>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</si>
  <si>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</si>
  <si>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</si>
  <si>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</si>
  <si>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</si>
  <si>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</si>
  <si>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</si>
  <si>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</si>
  <si>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</si>
  <si>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</si>
  <si>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</si>
  <si>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</si>
  <si>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</si>
  <si>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</si>
  <si>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</si>
  <si>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</si>
  <si>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</si>
  <si>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</si>
  <si>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</si>
  <si>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</si>
  <si>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</si>
  <si>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</si>
  <si>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</si>
  <si>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</si>
  <si>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</si>
  <si>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</si>
  <si>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</si>
  <si>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</si>
  <si>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</si>
  <si>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</si>
  <si>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</si>
  <si>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</si>
  <si>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</si>
  <si>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</si>
  <si>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</si>
  <si>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</si>
  <si>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</si>
  <si>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</si>
  <si>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</si>
  <si>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</si>
  <si>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</si>
  <si>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</si>
  <si>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</si>
  <si>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</si>
  <si>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</si>
  <si>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</si>
  <si>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</si>
  <si>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</si>
  <si>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</si>
  <si>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</si>
  <si>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</si>
  <si>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</si>
  <si>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</si>
  <si>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</si>
  <si>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</si>
  <si>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</si>
  <si>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</si>
  <si>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</si>
  <si>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</si>
  <si>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</si>
  <si>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</si>
  <si>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</si>
  <si>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</si>
  <si>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</si>
  <si>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</si>
  <si>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</si>
  <si>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</si>
  <si>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</si>
  <si>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</si>
  <si>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</si>
  <si>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</si>
  <si>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</si>
  <si>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</si>
  <si>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</si>
  <si>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</si>
  <si>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</si>
  <si>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</si>
  <si>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</si>
  <si>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</si>
  <si>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</si>
  <si>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</si>
  <si>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</si>
  <si>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</si>
  <si>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</si>
  <si>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</si>
  <si>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</si>
  <si>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</si>
  <si>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</si>
  <si>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</si>
  <si>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</si>
  <si>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</si>
  <si>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</si>
  <si>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</si>
  <si>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</si>
  <si>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</si>
  <si>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</si>
  <si>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</si>
  <si>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</si>
  <si>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</si>
  <si>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</si>
  <si>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</si>
  <si>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</si>
  <si>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</si>
  <si>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</si>
  <si>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</si>
  <si>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</si>
  <si>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</si>
  <si>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</si>
  <si>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</si>
  <si>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</si>
  <si>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</si>
  <si>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</si>
  <si>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</si>
  <si>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</si>
  <si>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</si>
  <si>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</si>
  <si>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</si>
  <si>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</si>
  <si>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</si>
  <si>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</si>
  <si>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</si>
  <si>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</si>
  <si>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</si>
  <si>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</si>
  <si>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</si>
  <si>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</si>
  <si>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</si>
  <si>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</si>
  <si>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</si>
  <si>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</si>
  <si>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</si>
  <si>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</si>
  <si>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</si>
  <si>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</si>
  <si>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</si>
  <si>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</si>
  <si>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</si>
  <si>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</si>
  <si>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</si>
  <si>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</si>
  <si>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</si>
  <si>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</si>
  <si>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</si>
  <si>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</si>
  <si>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</si>
  <si>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</si>
  <si>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</si>
  <si>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</si>
  <si>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</si>
  <si>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</si>
  <si>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</si>
  <si>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</si>
  <si>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</si>
  <si>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</si>
  <si>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</si>
  <si>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</si>
  <si>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</si>
  <si>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</si>
  <si>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</si>
  <si>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</si>
  <si>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</si>
  <si>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</si>
  <si>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</si>
  <si>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</si>
  <si>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</si>
  <si>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</si>
  <si>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</si>
  <si>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</si>
  <si>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</si>
  <si>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</si>
  <si>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</si>
  <si>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</si>
  <si>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</si>
  <si>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</si>
  <si>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</si>
  <si>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</si>
  <si>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</si>
  <si>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</si>
  <si>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</si>
  <si>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</si>
  <si>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</si>
  <si>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</si>
  <si>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</si>
  <si>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</si>
  <si>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</si>
  <si>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</si>
  <si>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</si>
  <si>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</si>
  <si>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</si>
  <si>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</si>
  <si>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</si>
  <si>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</si>
  <si>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</si>
  <si>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</si>
  <si>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</si>
  <si>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</si>
  <si>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</si>
  <si>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</si>
  <si>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</si>
  <si>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</si>
  <si>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</si>
  <si>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</si>
  <si>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</si>
  <si>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</si>
  <si>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</si>
  <si>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</si>
  <si>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</si>
  <si>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</si>
  <si>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</si>
  <si>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</si>
  <si>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</si>
  <si>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</si>
  <si>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</si>
  <si>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</si>
  <si>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</si>
  <si>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</si>
  <si>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</si>
  <si>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</si>
  <si>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</si>
  <si>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</si>
  <si>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</si>
  <si>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</si>
  <si>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</si>
  <si>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</si>
  <si>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</si>
  <si>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</si>
  <si>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</si>
  <si>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</si>
  <si>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</si>
  <si>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</si>
  <si>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</si>
  <si>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</si>
  <si>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</si>
  <si>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</si>
  <si>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</si>
  <si>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</si>
  <si>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</si>
  <si>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</si>
  <si>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</si>
  <si>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</si>
  <si>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</si>
  <si>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</si>
  <si>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</si>
  <si>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</si>
  <si>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</si>
  <si>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</si>
  <si>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</si>
  <si>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</si>
  <si>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</si>
  <si>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</si>
  <si>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</si>
  <si>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</si>
  <si>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</si>
  <si>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</si>
  <si>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</si>
  <si>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</si>
  <si>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</si>
  <si>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</si>
  <si>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</si>
  <si>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</si>
  <si>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</si>
  <si>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</si>
  <si>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</si>
  <si>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</si>
  <si>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</si>
  <si>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</si>
  <si>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</si>
  <si>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</si>
  <si>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</si>
  <si>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</si>
  <si>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</si>
  <si>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</si>
  <si>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</si>
  <si>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</si>
  <si>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</si>
  <si>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</si>
  <si>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</si>
  <si>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</si>
  <si>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</si>
  <si>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</si>
  <si>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</si>
  <si>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</si>
  <si>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</si>
  <si>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</si>
  <si>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</si>
  <si>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</si>
  <si>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</si>
  <si>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</si>
  <si>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</si>
  <si>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</si>
  <si>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</si>
  <si>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</si>
  <si>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</si>
  <si>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</si>
  <si>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</si>
  <si>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</si>
  <si>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</si>
  <si>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</si>
  <si>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</si>
  <si>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</si>
  <si>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</si>
  <si>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</si>
  <si>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</si>
  <si>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</si>
  <si>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</si>
  <si>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</si>
  <si>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</si>
  <si>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</si>
  <si>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</si>
  <si>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</si>
  <si>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</si>
  <si>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</si>
  <si>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</si>
  <si>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</si>
  <si>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</si>
  <si>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</si>
  <si>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</si>
  <si>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</si>
  <si>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</si>
  <si>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</si>
  <si>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</si>
  <si>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</si>
  <si>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</si>
  <si>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</si>
  <si>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</si>
  <si>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</si>
  <si>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</si>
  <si>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</si>
  <si>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</si>
  <si>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</si>
  <si>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</si>
  <si>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</si>
  <si>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</si>
  <si>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</si>
  <si>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</si>
  <si>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</si>
  <si>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</si>
  <si>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</si>
  <si>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</si>
  <si>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</si>
  <si>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</si>
  <si>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</si>
  <si>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</si>
  <si>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</si>
  <si>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</si>
  <si>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</si>
  <si>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</si>
  <si>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</si>
  <si>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</si>
  <si>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</si>
  <si>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</si>
  <si>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</si>
  <si>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</si>
  <si>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</si>
  <si>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</si>
  <si>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</si>
  <si>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</si>
  <si>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</si>
  <si>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</si>
  <si>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</si>
  <si>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</si>
  <si>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</si>
  <si>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</si>
  <si>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</si>
  <si>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</si>
  <si>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</si>
  <si>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</si>
  <si>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</si>
  <si>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</si>
  <si>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</si>
  <si>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</si>
  <si>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</si>
  <si>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</si>
  <si>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</si>
  <si>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</si>
  <si>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</si>
  <si>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</si>
  <si>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</si>
  <si>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</si>
  <si>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</si>
  <si>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</si>
  <si>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</si>
  <si>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</si>
  <si>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</si>
  <si>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</si>
  <si>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</si>
  <si>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</si>
  <si>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</si>
  <si>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</si>
  <si>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</si>
  <si>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</si>
  <si>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</si>
  <si>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</si>
  <si>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</si>
  <si>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</si>
  <si>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</si>
  <si>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</si>
  <si>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</si>
  <si>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</si>
  <si>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</si>
  <si>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</si>
  <si>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</si>
  <si>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</si>
  <si>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</si>
  <si>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</si>
  <si>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</si>
  <si>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</si>
  <si>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</si>
  <si>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</si>
  <si>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</si>
  <si>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</si>
  <si>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</si>
  <si>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</si>
  <si>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</si>
  <si>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</si>
  <si>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</si>
  <si>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</si>
  <si>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</si>
  <si>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</si>
  <si>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</si>
  <si>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</si>
  <si>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</si>
  <si>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</si>
  <si>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</si>
  <si>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</si>
  <si>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</si>
  <si>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</si>
  <si>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</si>
  <si>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</si>
  <si>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</si>
  <si>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</si>
  <si>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</si>
  <si>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</si>
  <si>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</si>
  <si>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</si>
  <si>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</si>
  <si>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</si>
  <si>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</si>
  <si>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</si>
  <si>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</si>
  <si>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</si>
  <si>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</si>
  <si>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</si>
  <si>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</si>
  <si>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</si>
  <si>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</si>
  <si>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</si>
  <si>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</si>
  <si>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</si>
  <si>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</si>
  <si>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</si>
  <si>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</si>
  <si>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</si>
  <si>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</si>
  <si>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</si>
  <si>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</si>
  <si>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</si>
  <si>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</si>
  <si>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</si>
  <si>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</si>
  <si>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</si>
  <si>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</si>
  <si>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</si>
  <si>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</si>
  <si>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</si>
  <si>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</si>
  <si>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</si>
  <si>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</si>
  <si>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</si>
  <si>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</si>
  <si>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</si>
  <si>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</si>
  <si>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</si>
  <si>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</si>
  <si>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</si>
  <si>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</si>
  <si>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</si>
  <si>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</si>
  <si>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</si>
  <si>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</si>
  <si>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</si>
  <si>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</si>
  <si>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</si>
  <si>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</si>
  <si>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</si>
  <si>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</si>
  <si>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</si>
  <si>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</si>
  <si>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</si>
  <si>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</si>
  <si>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</si>
  <si>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</si>
  <si>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</si>
  <si>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</si>
  <si>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</si>
  <si>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</si>
  <si>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</si>
  <si>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</si>
  <si>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</si>
  <si>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</si>
  <si>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</si>
  <si>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</si>
  <si>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</si>
  <si>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</si>
  <si>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</si>
  <si>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</si>
  <si>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</si>
  <si>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</si>
  <si>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</si>
  <si>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</si>
  <si>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</si>
  <si>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</si>
  <si>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</si>
  <si>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</si>
  <si>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</si>
  <si>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</si>
  <si>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</si>
  <si>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</si>
  <si>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</si>
  <si>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</si>
  <si>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</si>
  <si>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</si>
  <si>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</si>
  <si>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</si>
  <si>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</si>
  <si>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</si>
  <si>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</si>
  <si>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</si>
  <si>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</si>
  <si>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</si>
  <si>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</si>
  <si>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</si>
  <si>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</si>
  <si>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</si>
  <si>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</si>
  <si>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</si>
  <si>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</si>
  <si>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</si>
  <si>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</si>
  <si>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</si>
  <si>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</si>
  <si>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</si>
  <si>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</si>
  <si>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</si>
  <si>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</si>
  <si>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</si>
  <si>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</si>
  <si>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</si>
  <si>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</si>
  <si>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</si>
  <si>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</si>
  <si>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</si>
  <si>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</si>
  <si>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</si>
  <si>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</si>
  <si>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</si>
  <si>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</si>
  <si>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</si>
  <si>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</si>
  <si>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</si>
  <si>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</si>
  <si>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</si>
  <si>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</si>
  <si>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</si>
  <si>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</si>
  <si>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</si>
  <si>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</si>
  <si>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</si>
  <si>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</si>
  <si>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</si>
  <si>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</si>
  <si>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</si>
  <si>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</si>
  <si>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</si>
  <si>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</si>
  <si>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</si>
  <si>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</si>
  <si>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</si>
  <si>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</si>
  <si>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</si>
  <si>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</si>
  <si>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</si>
  <si>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</si>
  <si>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</si>
  <si>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</si>
  <si>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</si>
  <si>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</si>
  <si>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</si>
  <si>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</si>
  <si>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</si>
  <si>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</si>
  <si>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</si>
  <si>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</si>
  <si>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</si>
  <si>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</si>
  <si>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</si>
  <si>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</si>
  <si>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</si>
  <si>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</si>
  <si>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</si>
  <si>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</si>
  <si>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</si>
  <si>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</si>
  <si>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</si>
  <si>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</si>
  <si>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</si>
  <si>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</si>
  <si>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</si>
  <si>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</si>
  <si>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</si>
  <si>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</si>
  <si>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</si>
  <si>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</si>
  <si>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</si>
  <si>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</si>
  <si>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</si>
  <si>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</si>
  <si>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</si>
  <si>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</si>
  <si>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</si>
  <si>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</si>
  <si>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</si>
  <si>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</si>
  <si>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</si>
  <si>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</si>
  <si>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</si>
  <si>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</si>
  <si>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</si>
  <si>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</si>
  <si>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</si>
  <si>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</si>
  <si>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</si>
  <si>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</si>
  <si>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</si>
  <si>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</si>
  <si>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</si>
  <si>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</si>
  <si>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</si>
  <si>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</si>
  <si>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</si>
  <si>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</si>
  <si>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</si>
  <si>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</si>
  <si>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</si>
  <si>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</si>
  <si>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</si>
  <si>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</si>
  <si>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</si>
  <si>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</si>
  <si>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</si>
  <si>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</si>
  <si>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</si>
  <si>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</si>
  <si>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</si>
  <si>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</si>
  <si>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</si>
  <si>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</si>
  <si>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</si>
  <si>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</si>
  <si>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</si>
  <si>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</si>
  <si>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</si>
  <si>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</si>
  <si>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</si>
  <si>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</si>
  <si>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</si>
  <si>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</si>
  <si>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</si>
  <si>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</si>
  <si>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</si>
  <si>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</si>
  <si>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</si>
  <si>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</si>
  <si>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</si>
  <si>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</si>
  <si>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</si>
  <si>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</si>
  <si>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</si>
  <si>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</si>
  <si>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</si>
  <si>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</si>
  <si>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</si>
  <si>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</si>
  <si>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</si>
  <si>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</si>
  <si>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</si>
  <si>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</si>
  <si>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</si>
  <si>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</si>
  <si>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</si>
  <si>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</si>
  <si>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</si>
  <si>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</si>
  <si>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</si>
  <si>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</si>
  <si>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</si>
  <si>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</si>
  <si>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</si>
  <si>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</si>
  <si>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</si>
  <si>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</si>
  <si>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</si>
  <si>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</si>
  <si>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</si>
  <si>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</si>
  <si>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</si>
  <si>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</si>
  <si>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</si>
  <si>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</si>
  <si>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</si>
  <si>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</si>
  <si>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</si>
  <si>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</si>
  <si>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</si>
  <si>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</si>
  <si>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</si>
  <si>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</si>
  <si>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</si>
  <si>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</si>
  <si>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</si>
  <si>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</si>
  <si>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</si>
  <si>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</si>
  <si>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</si>
  <si>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</si>
  <si>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</si>
  <si>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</si>
  <si>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</si>
  <si>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</si>
  <si>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</si>
  <si>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</si>
  <si>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</si>
  <si>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</si>
  <si>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</si>
  <si>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</si>
  <si>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</si>
  <si>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</si>
  <si>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</si>
  <si>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</si>
  <si>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</si>
  <si>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</si>
  <si>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</si>
  <si>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</si>
  <si>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</si>
  <si>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</si>
  <si>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</si>
  <si>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</si>
  <si>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</si>
  <si>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</si>
  <si>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</si>
  <si>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</si>
  <si>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</si>
  <si>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</si>
  <si>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</si>
  <si>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</si>
  <si>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</si>
  <si>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</si>
  <si>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</si>
  <si>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</si>
  <si>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</si>
  <si>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</si>
  <si>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</si>
  <si>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</si>
  <si>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</si>
  <si>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</si>
  <si>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</si>
  <si>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</si>
  <si>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</si>
  <si>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</si>
  <si>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</si>
  <si>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</si>
  <si>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</si>
  <si>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</si>
  <si>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</si>
  <si>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</si>
  <si>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</si>
  <si>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</si>
  <si>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</si>
  <si>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</si>
  <si>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</si>
  <si>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</si>
  <si>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</si>
  <si>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</si>
  <si>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</si>
  <si>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</si>
  <si>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</si>
  <si>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</si>
  <si>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</si>
  <si>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</si>
  <si>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</si>
  <si>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</si>
  <si>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</si>
  <si>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</si>
  <si>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</si>
  <si>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</si>
  <si>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</si>
  <si>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</si>
  <si>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</si>
  <si>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</si>
  <si>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</si>
  <si>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</si>
  <si>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</si>
  <si>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</si>
  <si>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</si>
  <si>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</si>
  <si>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</si>
  <si>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</si>
  <si>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</si>
  <si>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</si>
  <si>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</si>
  <si>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</si>
  <si>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</si>
  <si>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</si>
  <si>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</si>
  <si>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</si>
  <si>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</si>
  <si>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</si>
  <si>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</si>
  <si>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</si>
  <si>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</si>
  <si>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</si>
  <si>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</si>
  <si>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</si>
  <si>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</si>
  <si>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</si>
  <si>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</si>
  <si>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</si>
  <si>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</si>
  <si>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</si>
  <si>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</si>
  <si>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</si>
  <si>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</si>
  <si>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</si>
  <si>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</si>
  <si>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</si>
  <si>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</si>
  <si>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</si>
  <si>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</si>
  <si>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</si>
  <si>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</si>
  <si>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</si>
  <si>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</si>
  <si>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</si>
  <si>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</si>
  <si>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</si>
  <si>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</si>
  <si>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</si>
  <si>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</si>
  <si>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</si>
  <si>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</si>
  <si>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</si>
  <si>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</si>
  <si>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</si>
  <si>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</si>
  <si>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</si>
  <si>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</si>
  <si>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</si>
  <si>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</si>
  <si>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</si>
  <si>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</si>
  <si>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</si>
  <si>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</si>
  <si>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</si>
  <si>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</si>
  <si>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</si>
  <si>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</si>
  <si>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</si>
  <si>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</si>
  <si>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</si>
  <si>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</si>
  <si>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</si>
  <si>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</si>
  <si>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</si>
  <si>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</si>
  <si>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</si>
  <si>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</si>
  <si>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</si>
  <si>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</si>
  <si>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</si>
  <si>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</si>
  <si>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</si>
  <si>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</si>
  <si>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</si>
  <si>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</si>
  <si>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</si>
  <si>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</si>
  <si>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</si>
  <si>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</si>
  <si>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</si>
  <si>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</si>
  <si>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</si>
  <si>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</si>
  <si>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</si>
  <si>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</si>
  <si>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</si>
  <si>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</si>
  <si>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</si>
  <si>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</si>
  <si>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</si>
  <si>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</si>
  <si>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</si>
  <si>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</si>
  <si>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</si>
  <si>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</si>
  <si>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</si>
  <si>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</si>
  <si>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</si>
  <si>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</si>
  <si>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</si>
  <si>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</si>
  <si>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</si>
  <si>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</si>
  <si>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</si>
  <si>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</si>
  <si>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</si>
  <si>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</si>
  <si>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</si>
  <si>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</si>
  <si>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</si>
  <si>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</si>
  <si>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</si>
  <si>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</si>
  <si>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</si>
  <si>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</si>
  <si>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</si>
  <si>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</si>
  <si>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</si>
  <si>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</si>
  <si>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</si>
  <si>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</si>
  <si>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</si>
  <si>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</si>
  <si>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</si>
  <si>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</si>
  <si>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</si>
  <si>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</si>
  <si>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</si>
  <si>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</si>
  <si>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</si>
  <si>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</si>
  <si>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</si>
  <si>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</si>
  <si>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</si>
  <si>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</si>
  <si>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</si>
  <si>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</si>
  <si>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</si>
  <si>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</si>
  <si>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</si>
  <si>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</si>
  <si>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</si>
  <si>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</si>
  <si>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</si>
  <si>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</si>
  <si>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</si>
  <si>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</si>
  <si>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</si>
  <si>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</si>
  <si>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</si>
  <si>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</si>
  <si>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</si>
  <si>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</si>
  <si>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</si>
  <si>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</si>
  <si>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</si>
  <si>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</si>
  <si>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</si>
  <si>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</si>
  <si>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</si>
  <si>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</si>
  <si>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</si>
  <si>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</si>
  <si>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</si>
  <si>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</si>
  <si>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</si>
  <si>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</si>
  <si>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</si>
  <si>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</si>
  <si>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</si>
  <si>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</si>
  <si>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</si>
  <si>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</si>
  <si>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</si>
  <si>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</si>
  <si>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</si>
  <si>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</si>
  <si>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</si>
  <si>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</si>
  <si>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</si>
  <si>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</si>
  <si>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</si>
  <si>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</si>
  <si>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</si>
  <si>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</si>
  <si>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</si>
  <si>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</si>
  <si>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</si>
  <si>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</si>
  <si>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</si>
  <si>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</si>
  <si>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</si>
  <si>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</si>
  <si>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</si>
  <si>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</si>
  <si>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</si>
  <si>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</si>
  <si>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</si>
  <si>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</si>
  <si>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</si>
  <si>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</si>
  <si>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</si>
  <si>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</si>
  <si>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</si>
  <si>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</si>
  <si>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</si>
  <si>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</si>
  <si>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</si>
  <si>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</si>
  <si>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</si>
  <si>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</si>
  <si>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</si>
  <si>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</si>
  <si>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</si>
  <si>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</si>
  <si>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</si>
  <si>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</si>
  <si>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</si>
  <si>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</si>
  <si>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</si>
  <si>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</si>
  <si>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</si>
  <si>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</si>
  <si>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</si>
  <si>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</si>
  <si>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</si>
  <si>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</si>
  <si>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</si>
  <si>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</si>
  <si>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</si>
  <si>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</si>
  <si>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</si>
  <si>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</si>
  <si>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</si>
  <si>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</si>
  <si>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</si>
  <si>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</si>
  <si>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</si>
  <si>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</si>
  <si>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</si>
  <si>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</si>
  <si>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</si>
  <si>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</si>
  <si>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</si>
  <si>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</si>
  <si>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</si>
  <si>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</si>
  <si>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</si>
  <si>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</si>
  <si>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</si>
  <si>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</si>
  <si>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</si>
  <si>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</si>
  <si>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</si>
  <si>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</si>
  <si>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</si>
  <si>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</si>
  <si>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</si>
  <si>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</si>
  <si>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</si>
  <si>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</si>
  <si>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</si>
  <si>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</si>
  <si>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</si>
  <si>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</si>
  <si>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</si>
  <si>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</si>
  <si>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</si>
  <si>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</si>
  <si>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</si>
  <si>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</si>
  <si>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</si>
  <si>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</si>
  <si>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</si>
  <si>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</si>
  <si>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</si>
  <si>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</si>
  <si>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</si>
  <si>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</si>
  <si>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</si>
  <si>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</si>
  <si>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</si>
  <si>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</si>
  <si>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</si>
  <si>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</si>
  <si>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</si>
  <si>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</si>
  <si>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</si>
  <si>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</si>
  <si>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</si>
  <si>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</si>
  <si>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</si>
  <si>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</si>
  <si>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</si>
  <si>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</si>
  <si>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</si>
  <si>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</si>
  <si>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</si>
  <si>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</si>
  <si>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</si>
  <si>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</si>
  <si>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</si>
  <si>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</si>
  <si>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</si>
  <si>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</si>
  <si>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</si>
  <si>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</si>
  <si>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</si>
  <si>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</si>
  <si>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</si>
  <si>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</si>
  <si>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</si>
  <si>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</si>
  <si>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</si>
  <si>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</si>
  <si>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</si>
  <si>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</si>
  <si>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</si>
  <si>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</si>
  <si>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</si>
  <si>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</si>
  <si>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</si>
  <si>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</si>
  <si>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</si>
  <si>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</si>
  <si>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</si>
  <si>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</si>
  <si>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</si>
  <si>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</si>
  <si>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</si>
  <si>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</si>
  <si>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</si>
  <si>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</si>
  <si>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</si>
  <si>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</si>
  <si>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</si>
  <si>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</si>
  <si>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</si>
  <si>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</si>
  <si>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</si>
  <si>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</si>
  <si>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</si>
  <si>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</si>
  <si>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</si>
  <si>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</si>
  <si>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</si>
  <si>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</si>
  <si>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</si>
  <si>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</si>
  <si>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</si>
  <si>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</si>
  <si>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</si>
  <si>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</si>
  <si>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</si>
  <si>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</si>
  <si>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</si>
  <si>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</si>
  <si>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</si>
  <si>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</si>
  <si>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</si>
  <si>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</si>
  <si>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</si>
  <si>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</si>
  <si>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</si>
  <si>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</si>
  <si>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</si>
  <si>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</si>
  <si>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</si>
  <si>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</si>
  <si>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</si>
  <si>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</si>
  <si>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</si>
  <si>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</si>
  <si>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</si>
  <si>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</si>
  <si>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</si>
  <si>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</si>
  <si>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</si>
  <si>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</si>
  <si>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</si>
  <si>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</si>
  <si>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</si>
  <si>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</si>
  <si>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</si>
  <si>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</si>
  <si>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</si>
  <si>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</si>
  <si>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</si>
  <si>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Champlain Cable Corporation</t>
  </si>
  <si>
    <t>002338549</t>
  </si>
  <si>
    <t>DUNS</t>
  </si>
  <si>
    <t>Jordan Mayer</t>
  </si>
  <si>
    <t>jmayer@champcable.com</t>
  </si>
  <si>
    <t>802-654-4280</t>
  </si>
  <si>
    <t>Environmental, Health, and Safety Manager</t>
  </si>
  <si>
    <t>https://www.champcable.com/suppliers/</t>
  </si>
  <si>
    <t>175 Hercules Drive, Colchester, VT 05446, USA</t>
  </si>
  <si>
    <t>CID001490</t>
  </si>
  <si>
    <t>CID002776</t>
  </si>
  <si>
    <t>CID002455</t>
  </si>
  <si>
    <t>CID001434</t>
  </si>
  <si>
    <t>CID001468</t>
  </si>
  <si>
    <t>CID000309</t>
  </si>
  <si>
    <t>CID001463</t>
  </si>
  <si>
    <t>PT Tinindo Inter Nusa</t>
  </si>
  <si>
    <t>PT Bangka Prima Tin</t>
  </si>
  <si>
    <t>CV Venus Inti Perkasa</t>
  </si>
  <si>
    <t>PT DS Jaya Abadi</t>
  </si>
  <si>
    <t>PT Stanindo Inti Perkasa</t>
  </si>
  <si>
    <t>PT Aries Kencana Sejahtera</t>
  </si>
  <si>
    <t>PT Sariwiguna Binasentosa</t>
  </si>
  <si>
    <t xml:space="preserve">The RMI allows for approved concentrates to be responsibly sourced from CAHRA's, including the DRC.  Smelters that source these approved concentrates from these areas are considered "approved, level 3 smelters" for RMI and reporting purposes. </t>
  </si>
  <si>
    <t xml:space="preserve">The RMI allows for approved concentrates to be responsibly sourced from the DRC and surrounding covered areas.  Smelters that source these approved concentrates from these areas are considered "approved, level 3 smelters" for RMI and reporting purposes. </t>
  </si>
  <si>
    <t>Pangkal Pinang</t>
  </si>
  <si>
    <t>http://www.responsiblemineralsinitiative.org/media/docs/ConflictMineralsPolicy_PTTIN.pdf</t>
  </si>
  <si>
    <t>Air Mesu</t>
  </si>
  <si>
    <t>http://www.responsiblemineralsinitiative.org/media/docs/PT_Bangka_Prima_Tin_CM_Policy.pdf</t>
  </si>
  <si>
    <t>http://www.responsiblemineralsinitiative.org/media/docs/ConflictMineralPolicy_CVVenusIntiPerkasa.pdf</t>
  </si>
  <si>
    <t>http://www.responsiblemineralsinitiative.org/media/docs/ConflictMineralsPolicy_PTDSJayaAbadi.pdf</t>
  </si>
  <si>
    <t>http://www.responsiblemineralsinitiative.org/media/docs/ConflictMineralsPolicy_SIP.pdf</t>
  </si>
  <si>
    <t>Pemali</t>
  </si>
  <si>
    <t>https://aksbangkatin.business.site/</t>
  </si>
  <si>
    <t>http://www.responsiblemineralsinitiative.org/media/Conflict%20Mineral%20Policy%20-%20SBS.pdf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</si>
</sst>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0" xfId="0"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mayer@champcabl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hampcable.com/suppliers/" TargetMode="External"/><Relationship Id="rId4" Type="http://schemas.openxmlformats.org/officeDocument/2006/relationships/hyperlink" Target="mailto:jmayer@champcabl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650000000000006" customHeight="1">
      <c r="A29" s="363"/>
      <c r="B29" s="352"/>
      <c r="C29" s="349"/>
      <c r="D29" s="370"/>
      <c r="E29" s="361"/>
      <c r="F29" s="198" t="s">
        <v>63</v>
      </c>
      <c r="G29" s="34"/>
    </row>
    <row r="30" spans="1:7" ht="62.6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6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73"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B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5"/>
      <c r="G3" s="425"/>
      <c r="H3" s="425"/>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504</v>
      </c>
      <c r="E9" s="428"/>
      <c r="F9" s="428"/>
      <c r="G9" s="429"/>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31"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22" t="s">
        <v>15514</v>
      </c>
      <c r="E14" s="423"/>
      <c r="F14" s="423"/>
      <c r="G14" s="423"/>
      <c r="H14" s="423"/>
      <c r="I14" s="423"/>
      <c r="J14" s="42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15509</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15510</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15511</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15509</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15512</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15510</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6" t="s">
        <v>15511</v>
      </c>
      <c r="E21" s="437"/>
      <c r="F21" s="437"/>
      <c r="G21" s="437"/>
      <c r="H21" s="437"/>
      <c r="I21" s="437"/>
      <c r="J21" s="43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9">
        <v>44047</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15530</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15529</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15513</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PageLayoutView="55" workbookViewId="0">
      <selection activeCell="K26" sqref="K2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2" t="str">
        <f ca="1">OFFSET(L!$C$1,MATCH("Smelter List"&amp;ADDRESS(ROW(),COLUMN(),4),L!$A:$A,0)-1,SL,,)</f>
        <v>Link to "RMAP Conformant Smelter List"</v>
      </c>
      <c r="K2" s="443"/>
      <c r="L2" s="443"/>
      <c r="M2" s="443"/>
      <c r="N2" s="443"/>
      <c r="O2" s="443"/>
      <c r="P2" s="234"/>
      <c r="Q2" s="235"/>
      <c r="R2" s="236"/>
      <c r="S2" s="236"/>
      <c r="T2" s="236"/>
      <c r="U2" s="267"/>
      <c r="V2" s="267"/>
      <c r="W2" s="268"/>
      <c r="X2" s="267"/>
      <c r="Y2" s="267"/>
      <c r="Z2" s="267"/>
      <c r="AH2" s="176" t="s">
        <v>498</v>
      </c>
    </row>
    <row r="3" spans="1:34" s="269" customFormat="1" ht="244.15" customHeight="1">
      <c r="A3" s="204"/>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0"/>
      <c r="G3" s="445" t="str">
        <f ca="1">OFFSET(L!$C$1,MATCH("General"&amp;"Cpy",L!$A:$A,0)-1,SL,,)</f>
        <v>© 2020 Responsible Minerals Initiative. All rights reserved.</v>
      </c>
      <c r="H3" s="445"/>
      <c r="I3" s="446"/>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47" t="s">
        <v>793</v>
      </c>
      <c r="B5" s="217" t="s">
        <v>1154</v>
      </c>
      <c r="C5" s="221" t="str">
        <f ca="1">IF(LEN(A5)=0,"",INDEX('Smelter Look-up'!$C:$C,MATCH($A5,'Smelter Look-up'!$E:$E,0)))</f>
        <v>Mineracao Taboca S.A.</v>
      </c>
      <c r="D5" s="283"/>
      <c r="E5" s="217" t="str">
        <f ca="1">IF(ISERROR($V5),"",OFFSET('Smelter Look-up'!$D$4,$V5-4,0)&amp;"")</f>
        <v>BRAZIL</v>
      </c>
      <c r="F5" s="217" t="str">
        <f ca="1">IF(ISERROR($V5),"",OFFSET('Smelter Look-up'!$E$4,$V5-4,0))</f>
        <v>CID001173</v>
      </c>
      <c r="G5" s="217" t="str">
        <f ca="1">IF(C5=$X$4,"Enter smelter details",IF(ISERROR($V5),"",OFFSET('Smelter Look-up'!$F$4,$V5-4,0)))</f>
        <v>RMI</v>
      </c>
      <c r="H5" s="218">
        <f ca="1">IF(ISERROR($V5),"",OFFSET('Smelter Look-up'!$G$4,$V5-4,0))</f>
        <v>0</v>
      </c>
      <c r="I5" s="219" t="str">
        <f ca="1">IF(ISERROR($V5),"",OFFSET('Smelter Look-up'!$H$4,$V5-4,0))</f>
        <v>Bairro Guarapiranga</v>
      </c>
      <c r="J5" s="219" t="str">
        <f ca="1">IF(ISERROR($V5),"",OFFSET('Smelter Look-up'!$I$4,$V5-4,0))</f>
        <v>São Paulo</v>
      </c>
      <c r="K5" s="273"/>
      <c r="L5" s="273"/>
      <c r="M5" s="273"/>
      <c r="N5" s="273"/>
      <c r="O5" s="273"/>
      <c r="P5" s="220"/>
      <c r="Q5" s="274"/>
      <c r="R5" s="217" t="str">
        <f ca="1">IF(ISERROR($V5),"",OFFSET('Smelter Look-up'!$C$4,$V5-4,0)&amp;"")</f>
        <v>Mineracao Taboca S.A.</v>
      </c>
      <c r="S5" s="225" t="str">
        <f t="shared" ref="S5" ca="1" si="0">IF(B5="","",IF(ISERROR(MATCH($E5,CL,0)),"Unknown",INDIRECT("'C'!$A$"&amp;MATCH($E5,CL,0)+1)))</f>
        <v>BR</v>
      </c>
      <c r="T5" s="225" t="str">
        <f ca="1">IF(B5="","",IF(ISERROR(MATCH($J5,SorP!$B$1:$B$6230,0)),"",INDIRECT("'SorP'!$A$"&amp;MATCH($J5,SorP!$B$1:$B$6230,0))))</f>
        <v>BR-SP</v>
      </c>
      <c r="U5" s="241"/>
      <c r="V5" s="275">
        <f ca="1">IF(C5="",NA(),MATCH($B5&amp;$C5,'Smelter Look-up'!$J:$J,0))</f>
        <v>421</v>
      </c>
      <c r="W5" s="276"/>
      <c r="X5" s="276">
        <f t="shared" ref="X5" ca="1" si="1">IF(AND(C5="Smelter not listed",OR(LEN(D5)=0,LEN(E5)=0)),1,0)</f>
        <v>0</v>
      </c>
      <c r="Y5" s="276"/>
      <c r="Z5" s="276"/>
      <c r="AB5" s="278" t="str">
        <f t="shared" ref="AB5" ca="1" si="2">B5&amp;C5</f>
        <v>TinMineracao Taboca S.A.</v>
      </c>
    </row>
    <row r="6" spans="1:34" s="277" customFormat="1" ht="19.899999999999999" customHeight="1">
      <c r="A6" s="347" t="s">
        <v>792</v>
      </c>
      <c r="B6" s="217" t="str">
        <f ca="1">IF(LEN(A6)=0,"",INDEX('Smelter Look-up'!$A:$A,MATCH($A6,'Smelter Look-up'!$E:$E,0)))</f>
        <v>Tin</v>
      </c>
      <c r="C6" s="221" t="str">
        <f ca="1">IF(LEN(A6)=0,"",INDEX('Smelter Look-up'!$C:$C,MATCH($A6,'Smelter Look-up'!$E:$E,0)))</f>
        <v>Malaysia Smelting Corporation (MSC)</v>
      </c>
      <c r="D6" s="283"/>
      <c r="E6" s="217" t="str">
        <f ca="1">IF(ISERROR($V6),"",OFFSET('Smelter Look-up'!$D$4,$V6-4,0)&amp;"")</f>
        <v>MALAYSIA</v>
      </c>
      <c r="F6" s="217" t="str">
        <f ca="1">IF(ISERROR($V6),"",OFFSET('Smelter Look-up'!$E$4,$V6-4,0))</f>
        <v>CID001105</v>
      </c>
      <c r="G6" s="217" t="str">
        <f ca="1">IF(C6=$X$4,"Enter smelter details",IF(ISERROR($V6),"",OFFSET('Smelter Look-up'!$F$4,$V6-4,0)))</f>
        <v>RMI</v>
      </c>
      <c r="H6" s="218">
        <f ca="1">IF(ISERROR($V6),"",OFFSET('Smelter Look-up'!$G$4,$V6-4,0))</f>
        <v>0</v>
      </c>
      <c r="I6" s="219" t="str">
        <f ca="1">IF(ISERROR($V6),"",OFFSET('Smelter Look-up'!$H$4,$V6-4,0))</f>
        <v>Butterworth</v>
      </c>
      <c r="J6" s="219" t="str">
        <f ca="1">IF(ISERROR($V6),"",OFFSET('Smelter Look-up'!$I$4,$V6-4,0))</f>
        <v>Pulau Pinang</v>
      </c>
      <c r="K6" s="273"/>
      <c r="L6" s="273"/>
      <c r="M6" s="273"/>
      <c r="N6" s="273"/>
      <c r="O6" s="273"/>
      <c r="P6" s="220"/>
      <c r="Q6" s="274"/>
      <c r="R6" s="217" t="str">
        <f ca="1">IF(ISERROR($V6),"",OFFSET('Smelter Look-up'!$C$4,$V6-4,0)&amp;"")</f>
        <v>Malaysia Smelting Corporation (MSC)</v>
      </c>
      <c r="S6" s="225" t="str">
        <f t="shared" ref="S6:S37" ca="1" si="3">IF(B6="","",IF(ISERROR(MATCH($E6,CL,0)),"Unknown",INDIRECT("'C'!$A$"&amp;MATCH($E6,CL,0)+1)))</f>
        <v>MY</v>
      </c>
      <c r="T6" s="225" t="str">
        <f ca="1">IF(B6="","",IF(ISERROR(MATCH($J6,SorP!$B$1:$B$6230,0)),"",INDIRECT("'SorP'!$A$"&amp;MATCH($J6,SorP!$B$1:$B$6230,0))))</f>
        <v>MY-07</v>
      </c>
      <c r="U6" s="241"/>
      <c r="V6" s="275">
        <f ca="1">IF(C6="",NA(),MATCH($B6&amp;$C6,'Smelter Look-up'!$J:$J,0))</f>
        <v>414</v>
      </c>
      <c r="W6" s="276"/>
      <c r="X6" s="276">
        <f t="shared" ref="X6:X37" ca="1" si="4">IF(AND(C6="Smelter not listed",OR(LEN(D6)=0,LEN(E6)=0)),1,0)</f>
        <v>0</v>
      </c>
      <c r="Y6" s="276"/>
      <c r="Z6" s="276"/>
      <c r="AB6" s="278" t="str">
        <f t="shared" ref="AB6:AB37" ca="1" si="5">B6&amp;C6</f>
        <v>TinMalaysia Smelting Corporation (MSC)</v>
      </c>
    </row>
    <row r="7" spans="1:34" s="277" customFormat="1" ht="19.899999999999999" customHeight="1">
      <c r="A7" s="347" t="s">
        <v>806</v>
      </c>
      <c r="B7" s="217" t="str">
        <f ca="1">IF(LEN(A7)=0,"",INDEX('Smelter Look-up'!$A:$A,MATCH($A7,'Smelter Look-up'!$E:$E,0)))</f>
        <v>Tin</v>
      </c>
      <c r="C7" s="221" t="str">
        <f ca="1">IF(LEN(A7)=0,"",INDEX('Smelter Look-up'!$C:$C,MATCH($A7,'Smelter Look-up'!$E:$E,0)))</f>
        <v>Thaisarco</v>
      </c>
      <c r="D7" s="283"/>
      <c r="E7" s="217" t="str">
        <f ca="1">IF(ISERROR($V7),"",OFFSET('Smelter Look-up'!$D$4,$V7-4,0)&amp;"")</f>
        <v>THAILAND</v>
      </c>
      <c r="F7" s="217" t="str">
        <f ca="1">IF(ISERROR($V7),"",OFFSET('Smelter Look-up'!$E$4,$V7-4,0))</f>
        <v>CID001898</v>
      </c>
      <c r="G7" s="217" t="str">
        <f ca="1">IF(C7=$X$4,"Enter smelter details",IF(ISERROR($V7),"",OFFSET('Smelter Look-up'!$F$4,$V7-4,0)))</f>
        <v>RMI</v>
      </c>
      <c r="H7" s="218">
        <f ca="1">IF(ISERROR($V7),"",OFFSET('Smelter Look-up'!$G$4,$V7-4,0))</f>
        <v>0</v>
      </c>
      <c r="I7" s="219" t="str">
        <f ca="1">IF(ISERROR($V7),"",OFFSET('Smelter Look-up'!$H$4,$V7-4,0))</f>
        <v>Amphur Muang</v>
      </c>
      <c r="J7" s="219" t="str">
        <f ca="1">IF(ISERROR($V7),"",OFFSET('Smelter Look-up'!$I$4,$V7-4,0))</f>
        <v>Phuket</v>
      </c>
      <c r="K7" s="273"/>
      <c r="L7" s="273"/>
      <c r="M7" s="273"/>
      <c r="N7" s="273"/>
      <c r="O7" s="273"/>
      <c r="P7" s="220"/>
      <c r="Q7" s="274"/>
      <c r="R7" s="217" t="str">
        <f ca="1">IF(ISERROR($V7),"",OFFSET('Smelter Look-up'!$C$4,$V7-4,0)&amp;"")</f>
        <v>Thaisarco</v>
      </c>
      <c r="S7" s="225" t="str">
        <f t="shared" ca="1" si="3"/>
        <v>TH</v>
      </c>
      <c r="T7" s="225" t="str">
        <f ca="1">IF(B7="","",IF(ISERROR(MATCH($J7,SorP!$B$1:$B$6230,0)),"",INDIRECT("'SorP'!$A$"&amp;MATCH($J7,SorP!$B$1:$B$6230,0))))</f>
        <v>TH-83</v>
      </c>
      <c r="U7" s="241"/>
      <c r="V7" s="275">
        <f ca="1">IF(C7="",NA(),MATCH($B7&amp;$C7,'Smelter Look-up'!$J:$J,0))</f>
        <v>458</v>
      </c>
      <c r="W7" s="276"/>
      <c r="X7" s="276">
        <f t="shared" ca="1" si="4"/>
        <v>0</v>
      </c>
      <c r="Y7" s="276"/>
      <c r="Z7" s="276"/>
      <c r="AB7" s="278" t="str">
        <f t="shared" ca="1" si="5"/>
        <v>TinThaisarco</v>
      </c>
    </row>
    <row r="8" spans="1:34" s="277" customFormat="1" ht="19.899999999999999" customHeight="1">
      <c r="A8" s="347" t="s">
        <v>824</v>
      </c>
      <c r="B8" s="217" t="str">
        <f ca="1">IF(LEN(A8)=0,"",INDEX('Smelter Look-up'!$A:$A,MATCH($A8,'Smelter Look-up'!$E:$E,0)))</f>
        <v>Tin</v>
      </c>
      <c r="C8" s="221" t="str">
        <f ca="1">IF(LEN(A8)=0,"",INDEX('Smelter Look-up'!$C:$C,MATCH($A8,'Smelter Look-up'!$E:$E,0)))</f>
        <v>PT Timah Tbk Kundur</v>
      </c>
      <c r="D8" s="283"/>
      <c r="E8" s="217" t="str">
        <f ca="1">IF(ISERROR($V8),"",OFFSET('Smelter Look-up'!$D$4,$V8-4,0)&amp;"")</f>
        <v>INDONESIA</v>
      </c>
      <c r="F8" s="217" t="str">
        <f ca="1">IF(ISERROR($V8),"",OFFSET('Smelter Look-up'!$E$4,$V8-4,0))</f>
        <v>CID001477</v>
      </c>
      <c r="G8" s="217" t="str">
        <f ca="1">IF(C8=$X$4,"Enter smelter details",IF(ISERROR($V8),"",OFFSET('Smelter Look-up'!$F$4,$V8-4,0)))</f>
        <v>RMI</v>
      </c>
      <c r="H8" s="218">
        <f ca="1">IF(ISERROR($V8),"",OFFSET('Smelter Look-up'!$G$4,$V8-4,0))</f>
        <v>0</v>
      </c>
      <c r="I8" s="219" t="str">
        <f ca="1">IF(ISERROR($V8),"",OFFSET('Smelter Look-up'!$H$4,$V8-4,0))</f>
        <v>Kundur</v>
      </c>
      <c r="J8" s="219" t="str">
        <f ca="1">IF(ISERROR($V8),"",OFFSET('Smelter Look-up'!$I$4,$V8-4,0))</f>
        <v>Riau</v>
      </c>
      <c r="K8" s="273"/>
      <c r="L8" s="273"/>
      <c r="M8" s="273"/>
      <c r="N8" s="273"/>
      <c r="O8" s="273"/>
      <c r="P8" s="220"/>
      <c r="Q8" s="274"/>
      <c r="R8" s="217" t="str">
        <f ca="1">IF(ISERROR($V8),"",OFFSET('Smelter Look-up'!$C$4,$V8-4,0)&amp;"")</f>
        <v>PT Timah Tbk Kundur</v>
      </c>
      <c r="S8" s="225" t="str">
        <f t="shared" ca="1" si="3"/>
        <v>ID</v>
      </c>
      <c r="T8" s="225" t="str">
        <f ca="1">IF(B8="","",IF(ISERROR(MATCH($J8,SorP!$B$1:$B$6230,0)),"",INDIRECT("'SorP'!$A$"&amp;MATCH($J8,SorP!$B$1:$B$6230,0))))</f>
        <v>ID-RI</v>
      </c>
      <c r="U8" s="241"/>
      <c r="V8" s="275">
        <f ca="1">IF(C8="",NA(),MATCH($B8&amp;$C8,'Smelter Look-up'!$J:$J,0))</f>
        <v>445</v>
      </c>
      <c r="W8" s="276"/>
      <c r="X8" s="276">
        <f t="shared" ca="1" si="4"/>
        <v>0</v>
      </c>
      <c r="Y8" s="276"/>
      <c r="Z8" s="276"/>
      <c r="AB8" s="278" t="str">
        <f t="shared" ca="1" si="5"/>
        <v>TinPT Timah Tbk Kundur</v>
      </c>
    </row>
    <row r="9" spans="1:34" s="277" customFormat="1" ht="19.899999999999999" customHeight="1">
      <c r="A9" s="347" t="s">
        <v>802</v>
      </c>
      <c r="B9" s="217" t="str">
        <f ca="1">IF(LEN(A9)=0,"",INDEX('Smelter Look-up'!$A:$A,MATCH($A9,'Smelter Look-up'!$E:$E,0)))</f>
        <v>Tin</v>
      </c>
      <c r="C9" s="221" t="str">
        <f ca="1">IF(LEN(A9)=0,"",INDEX('Smelter Look-up'!$C:$C,MATCH($A9,'Smelter Look-up'!$E:$E,0)))</f>
        <v>PT Timah Tbk Mentok</v>
      </c>
      <c r="D9" s="283"/>
      <c r="E9" s="217" t="str">
        <f ca="1">IF(ISERROR($V9),"",OFFSET('Smelter Look-up'!$D$4,$V9-4,0)&amp;"")</f>
        <v>INDONESIA</v>
      </c>
      <c r="F9" s="217" t="str">
        <f ca="1">IF(ISERROR($V9),"",OFFSET('Smelter Look-up'!$E$4,$V9-4,0))</f>
        <v>CID001482</v>
      </c>
      <c r="G9" s="217" t="str">
        <f ca="1">IF(C9=$X$4,"Enter smelter details",IF(ISERROR($V9),"",OFFSET('Smelter Look-up'!$F$4,$V9-4,0)))</f>
        <v>RMI</v>
      </c>
      <c r="H9" s="218">
        <f ca="1">IF(ISERROR($V9),"",OFFSET('Smelter Look-up'!$G$4,$V9-4,0))</f>
        <v>0</v>
      </c>
      <c r="I9" s="219" t="str">
        <f ca="1">IF(ISERROR($V9),"",OFFSET('Smelter Look-up'!$H$4,$V9-4,0))</f>
        <v>Mentok</v>
      </c>
      <c r="J9" s="219" t="str">
        <f ca="1">IF(ISERROR($V9),"",OFFSET('Smelter Look-up'!$I$4,$V9-4,0))</f>
        <v>Kepulauan Bangka Belitung</v>
      </c>
      <c r="K9" s="273"/>
      <c r="L9" s="273"/>
      <c r="M9" s="273"/>
      <c r="N9" s="273"/>
      <c r="O9" s="273"/>
      <c r="P9" s="220"/>
      <c r="Q9" s="274"/>
      <c r="R9" s="217" t="str">
        <f ca="1">IF(ISERROR($V9),"",OFFSET('Smelter Look-up'!$C$4,$V9-4,0)&amp;"")</f>
        <v>PT Timah Tbk Mentok</v>
      </c>
      <c r="S9" s="225" t="str">
        <f t="shared" ca="1" si="3"/>
        <v>ID</v>
      </c>
      <c r="T9" s="225" t="str">
        <f ca="1">IF(B9="","",IF(ISERROR(MATCH($J9,SorP!$B$1:$B$6230,0)),"",INDIRECT("'SorP'!$A$"&amp;MATCH($J9,SorP!$B$1:$B$6230,0))))</f>
        <v>ID-BB</v>
      </c>
      <c r="U9" s="241"/>
      <c r="V9" s="275">
        <f ca="1">IF(C9="",NA(),MATCH($B9&amp;$C9,'Smelter Look-up'!$J:$J,0))</f>
        <v>446</v>
      </c>
      <c r="W9" s="276"/>
      <c r="X9" s="276">
        <f t="shared" ca="1" si="4"/>
        <v>0</v>
      </c>
      <c r="Y9" s="276"/>
      <c r="Z9" s="276"/>
      <c r="AB9" s="278" t="str">
        <f t="shared" ca="1" si="5"/>
        <v>TinPT Timah Tbk Mentok</v>
      </c>
    </row>
    <row r="10" spans="1:34" s="277" customFormat="1" ht="19.899999999999999" customHeight="1">
      <c r="A10" s="347" t="s">
        <v>1856</v>
      </c>
      <c r="B10" s="217" t="str">
        <f ca="1">IF(LEN(A10)=0,"",INDEX('Smelter Look-up'!$A:$A,MATCH($A10,'Smelter Look-up'!$E:$E,0)))</f>
        <v>Tin</v>
      </c>
      <c r="C10" s="221" t="str">
        <f ca="1">IF(LEN(A10)=0,"",INDEX('Smelter Look-up'!$C:$C,MATCH($A10,'Smelter Look-up'!$E:$E,0)))</f>
        <v>Metallo Belgium N.V.</v>
      </c>
      <c r="D10" s="283"/>
      <c r="E10" s="217" t="str">
        <f ca="1">IF(ISERROR($V10),"",OFFSET('Smelter Look-up'!$D$4,$V10-4,0)&amp;"")</f>
        <v>BELGIUM</v>
      </c>
      <c r="F10" s="217" t="str">
        <f ca="1">IF(ISERROR($V10),"",OFFSET('Smelter Look-up'!$E$4,$V10-4,0))</f>
        <v>CID002773</v>
      </c>
      <c r="G10" s="217" t="str">
        <f ca="1">IF(C10=$X$4,"Enter smelter details",IF(ISERROR($V10),"",OFFSET('Smelter Look-up'!$F$4,$V10-4,0)))</f>
        <v>RMI</v>
      </c>
      <c r="H10" s="218">
        <f ca="1">IF(ISERROR($V10),"",OFFSET('Smelter Look-up'!$G$4,$V10-4,0))</f>
        <v>0</v>
      </c>
      <c r="I10" s="219" t="str">
        <f ca="1">IF(ISERROR($V10),"",OFFSET('Smelter Look-up'!$H$4,$V10-4,0))</f>
        <v>Beerse</v>
      </c>
      <c r="J10" s="219" t="str">
        <f ca="1">IF(ISERROR($V10),"",OFFSET('Smelter Look-up'!$I$4,$V10-4,0))</f>
        <v>Antwerpen</v>
      </c>
      <c r="K10" s="273"/>
      <c r="L10" s="273"/>
      <c r="M10" s="273"/>
      <c r="N10" s="273"/>
      <c r="O10" s="273"/>
      <c r="P10" s="220"/>
      <c r="Q10" s="274"/>
      <c r="R10" s="217" t="str">
        <f ca="1">IF(ISERROR($V10),"",OFFSET('Smelter Look-up'!$C$4,$V10-4,0)&amp;"")</f>
        <v>Metallo Belgium N.V.</v>
      </c>
      <c r="S10" s="225" t="str">
        <f t="shared" ca="1" si="3"/>
        <v>BE</v>
      </c>
      <c r="T10" s="225" t="str">
        <f ca="1">IF(B10="","",IF(ISERROR(MATCH($J10,SorP!$B$1:$B$6230,0)),"",INDIRECT("'SorP'!$A$"&amp;MATCH($J10,SorP!$B$1:$B$6230,0))))</f>
        <v>BE-VAN</v>
      </c>
      <c r="U10" s="241"/>
      <c r="V10" s="275">
        <f ca="1">IF(C10="",NA(),MATCH($B10&amp;$C10,'Smelter Look-up'!$J:$J,0))</f>
        <v>419</v>
      </c>
      <c r="W10" s="276"/>
      <c r="X10" s="276">
        <f t="shared" ca="1" si="4"/>
        <v>0</v>
      </c>
      <c r="Y10" s="276"/>
      <c r="Z10" s="276"/>
      <c r="AB10" s="278" t="str">
        <f t="shared" ca="1" si="5"/>
        <v>TinMetallo Belgium N.V.</v>
      </c>
    </row>
    <row r="11" spans="1:34" s="277" customFormat="1" ht="19.899999999999999" customHeight="1">
      <c r="A11" s="347" t="s">
        <v>807</v>
      </c>
      <c r="B11" s="217" t="str">
        <f ca="1">IF(LEN(A11)=0,"",INDEX('Smelter Look-up'!$A:$A,MATCH($A11,'Smelter Look-up'!$E:$E,0)))</f>
        <v>Tin</v>
      </c>
      <c r="C11" s="221" t="str">
        <f ca="1">IF(LEN(A11)=0,"",INDEX('Smelter Look-up'!$C:$C,MATCH($A11,'Smelter Look-up'!$E:$E,0)))</f>
        <v>White Solder Metalurgia e Mineracao Ltda.</v>
      </c>
      <c r="D11" s="283"/>
      <c r="E11" s="217" t="str">
        <f ca="1">IF(ISERROR($V11),"",OFFSET('Smelter Look-up'!$D$4,$V11-4,0)&amp;"")</f>
        <v>BRAZIL</v>
      </c>
      <c r="F11" s="217" t="str">
        <f ca="1">IF(ISERROR($V11),"",OFFSET('Smelter Look-up'!$E$4,$V11-4,0))</f>
        <v>CID002036</v>
      </c>
      <c r="G11" s="217" t="str">
        <f ca="1">IF(C11=$X$4,"Enter smelter details",IF(ISERROR($V11),"",OFFSET('Smelter Look-up'!$F$4,$V11-4,0)))</f>
        <v>RMI</v>
      </c>
      <c r="H11" s="218">
        <f ca="1">IF(ISERROR($V11),"",OFFSET('Smelter Look-up'!$G$4,$V11-4,0))</f>
        <v>0</v>
      </c>
      <c r="I11" s="219" t="str">
        <f ca="1">IF(ISERROR($V11),"",OFFSET('Smelter Look-up'!$H$4,$V11-4,0))</f>
        <v>Ariquemes</v>
      </c>
      <c r="J11" s="219" t="str">
        <f ca="1">IF(ISERROR($V11),"",OFFSET('Smelter Look-up'!$I$4,$V11-4,0))</f>
        <v>Rondônia</v>
      </c>
      <c r="K11" s="273"/>
      <c r="L11" s="273"/>
      <c r="M11" s="273"/>
      <c r="N11" s="273"/>
      <c r="O11" s="273"/>
      <c r="P11" s="220"/>
      <c r="Q11" s="274"/>
      <c r="R11" s="217" t="str">
        <f ca="1">IF(ISERROR($V11),"",OFFSET('Smelter Look-up'!$C$4,$V11-4,0)&amp;"")</f>
        <v>White Solder Metalurgia e Mineracao Ltda.</v>
      </c>
      <c r="S11" s="225" t="str">
        <f t="shared" ca="1" si="3"/>
        <v>BR</v>
      </c>
      <c r="T11" s="225" t="str">
        <f ca="1">IF(B11="","",IF(ISERROR(MATCH($J11,SorP!$B$1:$B$6230,0)),"",INDIRECT("'SorP'!$A$"&amp;MATCH($J11,SorP!$B$1:$B$6230,0))))</f>
        <v>BR-RO</v>
      </c>
      <c r="U11" s="241"/>
      <c r="V11" s="275">
        <f ca="1">IF(C11="",NA(),MATCH($B11&amp;$C11,'Smelter Look-up'!$J:$J,0))</f>
        <v>465</v>
      </c>
      <c r="W11" s="276"/>
      <c r="X11" s="276">
        <f t="shared" ca="1" si="4"/>
        <v>0</v>
      </c>
      <c r="Y11" s="276"/>
      <c r="Z11" s="276"/>
      <c r="AB11" s="278" t="str">
        <f t="shared" ca="1" si="5"/>
        <v>TinWhite Solder Metalurgia e Mineracao Ltda.</v>
      </c>
    </row>
    <row r="12" spans="1:34" s="277" customFormat="1" ht="19.899999999999999" customHeight="1">
      <c r="A12" s="347" t="s">
        <v>794</v>
      </c>
      <c r="B12" s="217" t="str">
        <f ca="1">IF(LEN(A12)=0,"",INDEX('Smelter Look-up'!$A:$A,MATCH($A12,'Smelter Look-up'!$E:$E,0)))</f>
        <v>Tin</v>
      </c>
      <c r="C12" s="221" t="str">
        <f ca="1">IF(LEN(A12)=0,"",INDEX('Smelter Look-up'!$C:$C,MATCH($A12,'Smelter Look-up'!$E:$E,0)))</f>
        <v>Minsur</v>
      </c>
      <c r="D12" s="283"/>
      <c r="E12" s="217" t="str">
        <f ca="1">IF(ISERROR($V12),"",OFFSET('Smelter Look-up'!$D$4,$V12-4,0)&amp;"")</f>
        <v>PERU</v>
      </c>
      <c r="F12" s="217" t="str">
        <f ca="1">IF(ISERROR($V12),"",OFFSET('Smelter Look-up'!$E$4,$V12-4,0))</f>
        <v>CID001182</v>
      </c>
      <c r="G12" s="217" t="str">
        <f ca="1">IF(C12=$X$4,"Enter smelter details",IF(ISERROR($V12),"",OFFSET('Smelter Look-up'!$F$4,$V12-4,0)))</f>
        <v>RMI</v>
      </c>
      <c r="H12" s="218">
        <f ca="1">IF(ISERROR($V12),"",OFFSET('Smelter Look-up'!$G$4,$V12-4,0))</f>
        <v>0</v>
      </c>
      <c r="I12" s="219" t="str">
        <f ca="1">IF(ISERROR($V12),"",OFFSET('Smelter Look-up'!$H$4,$V12-4,0))</f>
        <v>Paracas</v>
      </c>
      <c r="J12" s="219" t="str">
        <f ca="1">IF(ISERROR($V12),"",OFFSET('Smelter Look-up'!$I$4,$V12-4,0))</f>
        <v>Ika</v>
      </c>
      <c r="K12" s="273"/>
      <c r="L12" s="273"/>
      <c r="M12" s="273"/>
      <c r="N12" s="273"/>
      <c r="O12" s="273"/>
      <c r="P12" s="220"/>
      <c r="Q12" s="274"/>
      <c r="R12" s="217" t="str">
        <f ca="1">IF(ISERROR($V12),"",OFFSET('Smelter Look-up'!$C$4,$V12-4,0)&amp;"")</f>
        <v>Minsur</v>
      </c>
      <c r="S12" s="225" t="str">
        <f t="shared" ca="1" si="3"/>
        <v>PE</v>
      </c>
      <c r="T12" s="225" t="str">
        <f ca="1">IF(B12="","",IF(ISERROR(MATCH($J12,SorP!$B$1:$B$6230,0)),"",INDIRECT("'SorP'!$A$"&amp;MATCH($J12,SorP!$B$1:$B$6230,0))))</f>
        <v>PE-ICA</v>
      </c>
      <c r="U12" s="241"/>
      <c r="V12" s="275">
        <f ca="1">IF(C12="",NA(),MATCH($B12&amp;$C12,'Smelter Look-up'!$J:$J,0))</f>
        <v>424</v>
      </c>
      <c r="W12" s="276"/>
      <c r="X12" s="276">
        <f t="shared" ca="1" si="4"/>
        <v>0</v>
      </c>
      <c r="Y12" s="276"/>
      <c r="Z12" s="276"/>
      <c r="AB12" s="278" t="str">
        <f t="shared" ca="1" si="5"/>
        <v>TinMinsur</v>
      </c>
    </row>
    <row r="13" spans="1:34" s="277" customFormat="1" ht="19.899999999999999" customHeight="1">
      <c r="A13" s="347" t="s">
        <v>13521</v>
      </c>
      <c r="B13" s="217" t="str">
        <f ca="1">IF(LEN(A13)=0,"",INDEX('Smelter Look-up'!$A:$A,MATCH($A13,'Smelter Look-up'!$E:$E,0)))</f>
        <v>Tin</v>
      </c>
      <c r="C13" s="221" t="str">
        <f ca="1">IF(LEN(A13)=0,"",INDEX('Smelter Look-up'!$C:$C,MATCH($A13,'Smelter Look-up'!$E:$E,0)))</f>
        <v>Tin Technology &amp; Refining</v>
      </c>
      <c r="D13" s="283"/>
      <c r="E13" s="217" t="str">
        <f ca="1">IF(ISERROR($V13),"",OFFSET('Smelter Look-up'!$D$4,$V13-4,0)&amp;"")</f>
        <v>UNITED STATES OF AMERICA</v>
      </c>
      <c r="F13" s="217" t="str">
        <f ca="1">IF(ISERROR($V13),"",OFFSET('Smelter Look-up'!$E$4,$V13-4,0))</f>
        <v>CID003325</v>
      </c>
      <c r="G13" s="217" t="str">
        <f ca="1">IF(C13=$X$4,"Enter smelter details",IF(ISERROR($V13),"",OFFSET('Smelter Look-up'!$F$4,$V13-4,0)))</f>
        <v>RMI</v>
      </c>
      <c r="H13" s="218">
        <f ca="1">IF(ISERROR($V13),"",OFFSET('Smelter Look-up'!$G$4,$V13-4,0))</f>
        <v>0</v>
      </c>
      <c r="I13" s="219" t="str">
        <f ca="1">IF(ISERROR($V13),"",OFFSET('Smelter Look-up'!$H$4,$V13-4,0))</f>
        <v>West Chester</v>
      </c>
      <c r="J13" s="219" t="str">
        <f ca="1">IF(ISERROR($V13),"",OFFSET('Smelter Look-up'!$I$4,$V13-4,0))</f>
        <v>Pennsylvania</v>
      </c>
      <c r="K13" s="273"/>
      <c r="L13" s="273"/>
      <c r="M13" s="273"/>
      <c r="N13" s="273"/>
      <c r="O13" s="273"/>
      <c r="P13" s="220"/>
      <c r="Q13" s="274"/>
      <c r="R13" s="217" t="str">
        <f ca="1">IF(ISERROR($V13),"",OFFSET('Smelter Look-up'!$C$4,$V13-4,0)&amp;"")</f>
        <v>Tin Technology &amp; Refining</v>
      </c>
      <c r="S13" s="225" t="str">
        <f t="shared" ca="1" si="3"/>
        <v>US</v>
      </c>
      <c r="T13" s="225" t="str">
        <f ca="1">IF(B13="","",IF(ISERROR(MATCH($J13,SorP!$B$1:$B$6230,0)),"",INDIRECT("'SorP'!$A$"&amp;MATCH($J13,SorP!$B$1:$B$6230,0))))</f>
        <v>US-PA</v>
      </c>
      <c r="U13" s="241"/>
      <c r="V13" s="275">
        <f ca="1">IF(C13="",NA(),MATCH($B13&amp;$C13,'Smelter Look-up'!$J:$J,0))</f>
        <v>461</v>
      </c>
      <c r="W13" s="276"/>
      <c r="X13" s="276">
        <f t="shared" ca="1" si="4"/>
        <v>0</v>
      </c>
      <c r="Y13" s="276"/>
      <c r="Z13" s="276"/>
      <c r="AB13" s="278" t="str">
        <f t="shared" ca="1" si="5"/>
        <v>TinTin Technology &amp; Refining</v>
      </c>
    </row>
    <row r="14" spans="1:34" s="277" customFormat="1" ht="19.899999999999999" customHeight="1">
      <c r="A14" s="347" t="s">
        <v>801</v>
      </c>
      <c r="B14" s="217" t="str">
        <f ca="1">IF(LEN(A14)=0,"",INDEX('Smelter Look-up'!$A:$A,MATCH($A14,'Smelter Look-up'!$E:$E,0)))</f>
        <v>Tin</v>
      </c>
      <c r="C14" s="221" t="str">
        <f ca="1">IF(LEN(A14)=0,"",INDEX('Smelter Look-up'!$C:$C,MATCH($A14,'Smelter Look-up'!$E:$E,0)))</f>
        <v>PT Refined Bangka Tin</v>
      </c>
      <c r="D14" s="283"/>
      <c r="E14" s="217" t="str">
        <f ca="1">IF(ISERROR($V14),"",OFFSET('Smelter Look-up'!$D$4,$V14-4,0)&amp;"")</f>
        <v>INDONESIA</v>
      </c>
      <c r="F14" s="217" t="str">
        <f ca="1">IF(ISERROR($V14),"",OFFSET('Smelter Look-up'!$E$4,$V14-4,0))</f>
        <v>CID001460</v>
      </c>
      <c r="G14" s="217" t="str">
        <f ca="1">IF(C14=$X$4,"Enter smelter details",IF(ISERROR($V14),"",OFFSET('Smelter Look-up'!$F$4,$V14-4,0)))</f>
        <v>RMI</v>
      </c>
      <c r="H14" s="218">
        <f ca="1">IF(ISERROR($V14),"",OFFSET('Smelter Look-up'!$G$4,$V14-4,0))</f>
        <v>0</v>
      </c>
      <c r="I14" s="219" t="str">
        <f ca="1">IF(ISERROR($V14),"",OFFSET('Smelter Look-up'!$H$4,$V14-4,0))</f>
        <v>Sungailiat</v>
      </c>
      <c r="J14" s="219" t="str">
        <f ca="1">IF(ISERROR($V14),"",OFFSET('Smelter Look-up'!$I$4,$V14-4,0))</f>
        <v>Kepulauan Bangka Belitung</v>
      </c>
      <c r="K14" s="273"/>
      <c r="L14" s="273"/>
      <c r="M14" s="273"/>
      <c r="N14" s="273"/>
      <c r="O14" s="273"/>
      <c r="P14" s="220"/>
      <c r="Q14" s="274"/>
      <c r="R14" s="217" t="str">
        <f ca="1">IF(ISERROR($V14),"",OFFSET('Smelter Look-up'!$C$4,$V14-4,0)&amp;"")</f>
        <v>PT Refined Bangka Tin</v>
      </c>
      <c r="S14" s="225" t="str">
        <f t="shared" ca="1" si="3"/>
        <v>ID</v>
      </c>
      <c r="T14" s="225" t="str">
        <f ca="1">IF(B14="","",IF(ISERROR(MATCH($J14,SorP!$B$1:$B$6230,0)),"",INDIRECT("'SorP'!$A$"&amp;MATCH($J14,SorP!$B$1:$B$6230,0))))</f>
        <v>ID-BB</v>
      </c>
      <c r="U14" s="241"/>
      <c r="V14" s="275">
        <f ca="1">IF(C14="",NA(),MATCH($B14&amp;$C14,'Smelter Look-up'!$J:$J,0))</f>
        <v>443</v>
      </c>
      <c r="W14" s="276"/>
      <c r="X14" s="276">
        <f t="shared" ca="1" si="4"/>
        <v>0</v>
      </c>
      <c r="Y14" s="276"/>
      <c r="Z14" s="276"/>
      <c r="AB14" s="278" t="str">
        <f t="shared" ca="1" si="5"/>
        <v>TinPT Refined Bangka Tin</v>
      </c>
    </row>
    <row r="15" spans="1:34" s="277" customFormat="1" ht="19.899999999999999" customHeight="1">
      <c r="A15" s="347" t="s">
        <v>809</v>
      </c>
      <c r="B15" s="217" t="str">
        <f ca="1">IF(LEN(A15)=0,"",INDEX('Smelter Look-up'!$A:$A,MATCH($A15,'Smelter Look-up'!$E:$E,0)))</f>
        <v>Tin</v>
      </c>
      <c r="C15" s="221" t="str">
        <f ca="1">IF(LEN(A15)=0,"",INDEX('Smelter Look-up'!$C:$C,MATCH($A15,'Smelter Look-up'!$E:$E,0)))</f>
        <v>Yunnan Tin Company Limited</v>
      </c>
      <c r="D15" s="283"/>
      <c r="E15" s="217" t="str">
        <f ca="1">IF(ISERROR($V15),"",OFFSET('Smelter Look-up'!$D$4,$V15-4,0)&amp;"")</f>
        <v>CHINA</v>
      </c>
      <c r="F15" s="217" t="str">
        <f ca="1">IF(ISERROR($V15),"",OFFSET('Smelter Look-up'!$E$4,$V15-4,0))</f>
        <v>CID002180</v>
      </c>
      <c r="G15" s="217" t="str">
        <f ca="1">IF(C15=$X$4,"Enter smelter details",IF(ISERROR($V15),"",OFFSET('Smelter Look-up'!$F$4,$V15-4,0)))</f>
        <v>RMI</v>
      </c>
      <c r="H15" s="218">
        <f ca="1">IF(ISERROR($V15),"",OFFSET('Smelter Look-up'!$G$4,$V15-4,0))</f>
        <v>0</v>
      </c>
      <c r="I15" s="219" t="str">
        <f ca="1">IF(ISERROR($V15),"",OFFSET('Smelter Look-up'!$H$4,$V15-4,0))</f>
        <v>Gejiu</v>
      </c>
      <c r="J15" s="219" t="str">
        <f ca="1">IF(ISERROR($V15),"",OFFSET('Smelter Look-up'!$I$4,$V15-4,0))</f>
        <v>Yunnan Sheng</v>
      </c>
      <c r="K15" s="273"/>
      <c r="L15" s="273"/>
      <c r="M15" s="273"/>
      <c r="N15" s="273"/>
      <c r="O15" s="273"/>
      <c r="P15" s="220"/>
      <c r="Q15" s="274"/>
      <c r="R15" s="217" t="str">
        <f ca="1">IF(ISERROR($V15),"",OFFSET('Smelter Look-up'!$C$4,$V15-4,0)&amp;"")</f>
        <v>Yunnan Tin Company Limited</v>
      </c>
      <c r="S15" s="225" t="str">
        <f t="shared" ca="1" si="3"/>
        <v>CN</v>
      </c>
      <c r="T15" s="225" t="str">
        <f ca="1">IF(B15="","",IF(ISERROR(MATCH($J15,SorP!$B$1:$B$6230,0)),"",INDIRECT("'SorP'!$A$"&amp;MATCH($J15,SorP!$B$1:$B$6230,0))))</f>
        <v>CN-YN</v>
      </c>
      <c r="U15" s="241"/>
      <c r="V15" s="275">
        <f ca="1">IF(C15="",NA(),MATCH($B15&amp;$C15,'Smelter Look-up'!$J:$J,0))</f>
        <v>477</v>
      </c>
      <c r="W15" s="276"/>
      <c r="X15" s="276">
        <f t="shared" ca="1" si="4"/>
        <v>0</v>
      </c>
      <c r="Y15" s="276"/>
      <c r="Z15" s="276"/>
      <c r="AB15" s="278" t="str">
        <f t="shared" ca="1" si="5"/>
        <v>TinYunnan Tin Company Limited</v>
      </c>
    </row>
    <row r="16" spans="1:34" s="277" customFormat="1" ht="19.899999999999999" customHeight="1">
      <c r="A16" s="347" t="s">
        <v>800</v>
      </c>
      <c r="B16" s="217" t="str">
        <f ca="1">IF(LEN(A16)=0,"",INDEX('Smelter Look-up'!$A:$A,MATCH($A16,'Smelter Look-up'!$E:$E,0)))</f>
        <v>Tin</v>
      </c>
      <c r="C16" s="221" t="str">
        <f ca="1">IF(LEN(A16)=0,"",INDEX('Smelter Look-up'!$C:$C,MATCH($A16,'Smelter Look-up'!$E:$E,0)))</f>
        <v>PT Mitra Stania Prima</v>
      </c>
      <c r="D16" s="283"/>
      <c r="E16" s="217" t="str">
        <f ca="1">IF(ISERROR($V16),"",OFFSET('Smelter Look-up'!$D$4,$V16-4,0)&amp;"")</f>
        <v>INDONESIA</v>
      </c>
      <c r="F16" s="217" t="str">
        <f ca="1">IF(ISERROR($V16),"",OFFSET('Smelter Look-up'!$E$4,$V16-4,0))</f>
        <v>CID001453</v>
      </c>
      <c r="G16" s="217" t="str">
        <f ca="1">IF(C16=$X$4,"Enter smelter details",IF(ISERROR($V16),"",OFFSET('Smelter Look-up'!$F$4,$V16-4,0)))</f>
        <v>RMI</v>
      </c>
      <c r="H16" s="218">
        <f ca="1">IF(ISERROR($V16),"",OFFSET('Smelter Look-up'!$G$4,$V16-4,0))</f>
        <v>0</v>
      </c>
      <c r="I16" s="219" t="str">
        <f ca="1">IF(ISERROR($V16),"",OFFSET('Smelter Look-up'!$H$4,$V16-4,0))</f>
        <v>Sungailiat</v>
      </c>
      <c r="J16" s="219" t="str">
        <f ca="1">IF(ISERROR($V16),"",OFFSET('Smelter Look-up'!$I$4,$V16-4,0))</f>
        <v>Kepulauan Bangka Belitung</v>
      </c>
      <c r="K16" s="273"/>
      <c r="L16" s="273"/>
      <c r="M16" s="273"/>
      <c r="N16" s="273"/>
      <c r="O16" s="273"/>
      <c r="P16" s="220"/>
      <c r="Q16" s="274"/>
      <c r="R16" s="217" t="str">
        <f ca="1">IF(ISERROR($V16),"",OFFSET('Smelter Look-up'!$C$4,$V16-4,0)&amp;"")</f>
        <v>PT Mitra Stania Prima</v>
      </c>
      <c r="S16" s="225" t="str">
        <f t="shared" ca="1" si="3"/>
        <v>ID</v>
      </c>
      <c r="T16" s="225" t="str">
        <f ca="1">IF(B16="","",IF(ISERROR(MATCH($J16,SorP!$B$1:$B$6230,0)),"",INDIRECT("'SorP'!$A$"&amp;MATCH($J16,SorP!$B$1:$B$6230,0))))</f>
        <v>ID-BB</v>
      </c>
      <c r="U16" s="241"/>
      <c r="V16" s="275">
        <f ca="1">IF(C16="",NA(),MATCH($B16&amp;$C16,'Smelter Look-up'!$J:$J,0))</f>
        <v>441</v>
      </c>
      <c r="W16" s="276"/>
      <c r="X16" s="276">
        <f t="shared" ca="1" si="4"/>
        <v>0</v>
      </c>
      <c r="Y16" s="276"/>
      <c r="Z16" s="276"/>
      <c r="AB16" s="278" t="str">
        <f t="shared" ca="1" si="5"/>
        <v>TinPT Mitra Stania Prima</v>
      </c>
    </row>
    <row r="17" spans="1:28" s="277" customFormat="1" ht="19.899999999999999" customHeight="1">
      <c r="A17" s="347" t="s">
        <v>15515</v>
      </c>
      <c r="B17" s="217" t="s">
        <v>1154</v>
      </c>
      <c r="C17" s="347" t="s">
        <v>1898</v>
      </c>
      <c r="D17" s="347" t="s">
        <v>15522</v>
      </c>
      <c r="E17" s="217" t="s">
        <v>1128</v>
      </c>
      <c r="F17" s="347" t="s">
        <v>15515</v>
      </c>
      <c r="G17" s="217" t="str">
        <f ca="1">IF(C17=$X$4,"Enter smelter details",IF(ISERROR($V17),"",OFFSET('Smelter Look-up'!$F$4,$V17-4,0)))</f>
        <v>Enter smelter details</v>
      </c>
      <c r="H17" s="218">
        <f ca="1">IF(ISERROR($V17),"",OFFSET('Smelter Look-up'!$G$4,$V17-4,0))</f>
        <v>0</v>
      </c>
      <c r="I17" s="347" t="s">
        <v>15531</v>
      </c>
      <c r="J17" s="347" t="s">
        <v>13183</v>
      </c>
      <c r="K17" s="347" t="s">
        <v>15532</v>
      </c>
      <c r="L17" s="273"/>
      <c r="M17" s="273"/>
      <c r="N17" s="273"/>
      <c r="O17" s="273"/>
      <c r="P17" s="220"/>
      <c r="Q17" s="274"/>
      <c r="R17" s="217" t="str">
        <f ca="1">IF(ISERROR($V17),"",OFFSET('Smelter Look-up'!$C$4,$V17-4,0)&amp;"")</f>
        <v/>
      </c>
      <c r="S17" s="225" t="str">
        <f t="shared" ca="1" si="3"/>
        <v>ID</v>
      </c>
      <c r="T17" s="225" t="str">
        <f ca="1">IF(B17="","",IF(ISERROR(MATCH($J17,SorP!$B$1:$B$6230,0)),"",INDIRECT("'SorP'!$A$"&amp;MATCH($J17,SorP!$B$1:$B$6230,0))))</f>
        <v>ID-BB</v>
      </c>
      <c r="U17" s="241"/>
      <c r="V17" s="275">
        <f>IF(C17="",NA(),MATCH($B17&amp;$C17,'Smelter Look-up'!$J:$J,0))</f>
        <v>484</v>
      </c>
      <c r="W17" s="276"/>
      <c r="X17" s="276">
        <f t="shared" si="4"/>
        <v>0</v>
      </c>
      <c r="Y17" s="276"/>
      <c r="Z17" s="276"/>
      <c r="AB17" s="278" t="str">
        <f t="shared" si="5"/>
        <v>TinSmelter not listed</v>
      </c>
    </row>
    <row r="18" spans="1:28" s="277" customFormat="1" ht="19.899999999999999" customHeight="1">
      <c r="A18" s="347" t="s">
        <v>15516</v>
      </c>
      <c r="B18" s="217" t="s">
        <v>1154</v>
      </c>
      <c r="C18" s="221" t="s">
        <v>1898</v>
      </c>
      <c r="D18" s="347" t="s">
        <v>15523</v>
      </c>
      <c r="E18" s="217" t="s">
        <v>1128</v>
      </c>
      <c r="F18" s="347" t="s">
        <v>15516</v>
      </c>
      <c r="G18" s="217" t="str">
        <f ca="1">IF(C18=$X$4,"Enter smelter details",IF(ISERROR($V18),"",OFFSET('Smelter Look-up'!$F$4,$V18-4,0)))</f>
        <v>Enter smelter details</v>
      </c>
      <c r="H18" s="218">
        <f ca="1">IF(ISERROR($V18),"",OFFSET('Smelter Look-up'!$G$4,$V18-4,0))</f>
        <v>0</v>
      </c>
      <c r="I18" s="347" t="s">
        <v>15533</v>
      </c>
      <c r="J18" s="347" t="s">
        <v>13183</v>
      </c>
      <c r="K18" s="347" t="s">
        <v>15534</v>
      </c>
      <c r="L18" s="273"/>
      <c r="M18" s="273"/>
      <c r="N18" s="273"/>
      <c r="O18" s="273"/>
      <c r="P18" s="220"/>
      <c r="Q18" s="274"/>
      <c r="R18" s="217" t="str">
        <f ca="1">IF(ISERROR($V18),"",OFFSET('Smelter Look-up'!$C$4,$V18-4,0)&amp;"")</f>
        <v/>
      </c>
      <c r="S18" s="225" t="str">
        <f t="shared" ca="1" si="3"/>
        <v>ID</v>
      </c>
      <c r="T18" s="225" t="str">
        <f ca="1">IF(B18="","",IF(ISERROR(MATCH($J18,SorP!$B$1:$B$6230,0)),"",INDIRECT("'SorP'!$A$"&amp;MATCH($J18,SorP!$B$1:$B$6230,0))))</f>
        <v>ID-BB</v>
      </c>
      <c r="U18" s="241"/>
      <c r="V18" s="275">
        <f>IF(C18="",NA(),MATCH($B18&amp;$C18,'Smelter Look-up'!$J:$J,0))</f>
        <v>484</v>
      </c>
      <c r="W18" s="276"/>
      <c r="X18" s="276">
        <f t="shared" si="4"/>
        <v>0</v>
      </c>
      <c r="Y18" s="276"/>
      <c r="Z18" s="276"/>
      <c r="AB18" s="278" t="str">
        <f t="shared" si="5"/>
        <v>TinSmelter not listed</v>
      </c>
    </row>
    <row r="19" spans="1:28" s="277" customFormat="1" ht="38.25">
      <c r="A19" s="347" t="s">
        <v>15517</v>
      </c>
      <c r="B19" s="217" t="s">
        <v>1154</v>
      </c>
      <c r="C19" s="221" t="s">
        <v>1898</v>
      </c>
      <c r="D19" s="347" t="s">
        <v>15524</v>
      </c>
      <c r="E19" s="217" t="s">
        <v>1128</v>
      </c>
      <c r="F19" s="347" t="s">
        <v>15517</v>
      </c>
      <c r="G19" s="217" t="str">
        <f ca="1">IF(C19=$X$4,"Enter smelter details",IF(ISERROR($V19),"",OFFSET('Smelter Look-up'!$F$4,$V19-4,0)))</f>
        <v>Enter smelter details</v>
      </c>
      <c r="H19" s="218">
        <f ca="1">IF(ISERROR($V19),"",OFFSET('Smelter Look-up'!$G$4,$V19-4,0))</f>
        <v>0</v>
      </c>
      <c r="I19" s="347" t="s">
        <v>15531</v>
      </c>
      <c r="J19" s="347" t="s">
        <v>13183</v>
      </c>
      <c r="K19" s="347" t="s">
        <v>15535</v>
      </c>
      <c r="L19" s="273"/>
      <c r="M19" s="273"/>
      <c r="N19" s="273"/>
      <c r="O19" s="273"/>
      <c r="P19" s="220"/>
      <c r="Q19" s="274"/>
      <c r="R19" s="217" t="str">
        <f ca="1">IF(ISERROR($V19),"",OFFSET('Smelter Look-up'!$C$4,$V19-4,0)&amp;"")</f>
        <v/>
      </c>
      <c r="S19" s="225" t="str">
        <f t="shared" ca="1" si="3"/>
        <v>ID</v>
      </c>
      <c r="T19" s="225" t="str">
        <f ca="1">IF(B19="","",IF(ISERROR(MATCH($J19,SorP!$B$1:$B$6230,0)),"",INDIRECT("'SorP'!$A$"&amp;MATCH($J19,SorP!$B$1:$B$6230,0))))</f>
        <v>ID-BB</v>
      </c>
      <c r="U19" s="241"/>
      <c r="V19" s="275">
        <f>IF(C19="",NA(),MATCH($B19&amp;$C19,'Smelter Look-up'!$J:$J,0))</f>
        <v>484</v>
      </c>
      <c r="W19" s="276"/>
      <c r="X19" s="276">
        <f t="shared" si="4"/>
        <v>0</v>
      </c>
      <c r="Y19" s="276"/>
      <c r="Z19" s="276"/>
      <c r="AB19" s="278" t="str">
        <f t="shared" si="5"/>
        <v>TinSmelter not listed</v>
      </c>
    </row>
    <row r="20" spans="1:28" s="277" customFormat="1" ht="25.5">
      <c r="A20" s="347" t="s">
        <v>804</v>
      </c>
      <c r="B20" s="217" t="str">
        <f ca="1">IF(LEN(A20)=0,"",INDEX('Smelter Look-up'!$A:$A,MATCH($A20,'Smelter Look-up'!$E:$E,0)))</f>
        <v>Tin</v>
      </c>
      <c r="C20" s="221" t="str">
        <f ca="1">IF(LEN(A20)=0,"",INDEX('Smelter Look-up'!$C:$C,MATCH($A20,'Smelter Look-up'!$E:$E,0)))</f>
        <v>Rui Da Hung</v>
      </c>
      <c r="D20" s="283"/>
      <c r="E20" s="217" t="str">
        <f ca="1">IF(ISERROR($V20),"",OFFSET('Smelter Look-up'!$D$4,$V20-4,0)&amp;"")</f>
        <v>TAIWAN, PROVINCE OF CHINA</v>
      </c>
      <c r="F20" s="217" t="str">
        <f ca="1">IF(ISERROR($V20),"",OFFSET('Smelter Look-up'!$E$4,$V20-4,0))</f>
        <v>CID001539</v>
      </c>
      <c r="G20" s="217" t="str">
        <f ca="1">IF(C20=$X$4,"Enter smelter details",IF(ISERROR($V20),"",OFFSET('Smelter Look-up'!$F$4,$V20-4,0)))</f>
        <v>RMI</v>
      </c>
      <c r="H20" s="218">
        <f ca="1">IF(ISERROR($V20),"",OFFSET('Smelter Look-up'!$G$4,$V20-4,0))</f>
        <v>0</v>
      </c>
      <c r="I20" s="219" t="str">
        <f ca="1">IF(ISERROR($V20),"",OFFSET('Smelter Look-up'!$H$4,$V20-4,0))</f>
        <v>Longtan Shiang Taoyuan</v>
      </c>
      <c r="J20" s="219" t="str">
        <f ca="1">IF(ISERROR($V20),"",OFFSET('Smelter Look-up'!$I$4,$V20-4,0))</f>
        <v>Taoyuan</v>
      </c>
      <c r="K20" s="273"/>
      <c r="L20" s="273"/>
      <c r="M20" s="273"/>
      <c r="N20" s="273"/>
      <c r="O20" s="273"/>
      <c r="P20" s="220"/>
      <c r="Q20" s="274"/>
      <c r="R20" s="217" t="str">
        <f ca="1">IF(ISERROR($V20),"",OFFSET('Smelter Look-up'!$C$4,$V20-4,0)&amp;"")</f>
        <v>Rui Da Hung</v>
      </c>
      <c r="S20" s="225" t="str">
        <f t="shared" ca="1" si="3"/>
        <v>TW</v>
      </c>
      <c r="T20" s="225" t="str">
        <f ca="1">IF(B20="","",IF(ISERROR(MATCH($J20,SorP!$B$1:$B$6230,0)),"",INDIRECT("'SorP'!$A$"&amp;MATCH($J20,SorP!$B$1:$B$6230,0))))</f>
        <v>TW-TAO</v>
      </c>
      <c r="U20" s="241"/>
      <c r="V20" s="275">
        <f ca="1">IF(C20="",NA(),MATCH($B20&amp;$C20,'Smelter Look-up'!$J:$J,0))</f>
        <v>450</v>
      </c>
      <c r="W20" s="276"/>
      <c r="X20" s="276">
        <f t="shared" ca="1" si="4"/>
        <v>0</v>
      </c>
      <c r="Y20" s="276"/>
      <c r="Z20" s="276"/>
      <c r="AB20" s="278" t="str">
        <f t="shared" ca="1" si="5"/>
        <v>TinRui Da Hung</v>
      </c>
    </row>
    <row r="21" spans="1:28" s="277" customFormat="1" ht="38.25">
      <c r="A21" s="347" t="s">
        <v>15518</v>
      </c>
      <c r="B21" s="217" t="s">
        <v>1154</v>
      </c>
      <c r="C21" s="221" t="s">
        <v>1898</v>
      </c>
      <c r="D21" s="347" t="s">
        <v>15525</v>
      </c>
      <c r="E21" s="217" t="s">
        <v>1128</v>
      </c>
      <c r="F21" s="347" t="s">
        <v>15518</v>
      </c>
      <c r="G21" s="217" t="str">
        <f ca="1">IF(C21=$X$4,"Enter smelter details",IF(ISERROR($V21),"",OFFSET('Smelter Look-up'!$F$4,$V21-4,0)))</f>
        <v>Enter smelter details</v>
      </c>
      <c r="H21" s="218">
        <f ca="1">IF(ISERROR($V21),"",OFFSET('Smelter Look-up'!$G$4,$V21-4,0))</f>
        <v>0</v>
      </c>
      <c r="I21" s="347" t="s">
        <v>15531</v>
      </c>
      <c r="J21" s="347" t="s">
        <v>13183</v>
      </c>
      <c r="K21" s="347" t="s">
        <v>15536</v>
      </c>
      <c r="L21" s="273"/>
      <c r="M21" s="273"/>
      <c r="N21" s="273"/>
      <c r="O21" s="273"/>
      <c r="P21" s="220"/>
      <c r="Q21" s="274"/>
      <c r="R21" s="217" t="str">
        <f ca="1">IF(ISERROR($V21),"",OFFSET('Smelter Look-up'!$C$4,$V21-4,0)&amp;"")</f>
        <v/>
      </c>
      <c r="S21" s="225" t="str">
        <f t="shared" ca="1" si="3"/>
        <v>ID</v>
      </c>
      <c r="T21" s="225" t="str">
        <f ca="1">IF(B21="","",IF(ISERROR(MATCH($J21,SorP!$B$1:$B$6230,0)),"",INDIRECT("'SorP'!$A$"&amp;MATCH($J21,SorP!$B$1:$B$6230,0))))</f>
        <v>ID-BB</v>
      </c>
      <c r="U21" s="241"/>
      <c r="V21" s="275">
        <f>IF(C21="",NA(),MATCH($B21&amp;$C21,'Smelter Look-up'!$J:$J,0))</f>
        <v>484</v>
      </c>
      <c r="W21" s="276"/>
      <c r="X21" s="276">
        <f t="shared" si="4"/>
        <v>0</v>
      </c>
      <c r="Y21" s="276"/>
      <c r="Z21" s="276"/>
      <c r="AB21" s="278" t="str">
        <f t="shared" si="5"/>
        <v>TinSmelter not listed</v>
      </c>
    </row>
    <row r="22" spans="1:28" s="277" customFormat="1" ht="38.25">
      <c r="A22" s="347" t="s">
        <v>784</v>
      </c>
      <c r="B22" s="217" t="str">
        <f ca="1">IF(LEN(A22)=0,"",INDEX('Smelter Look-up'!$A:$A,MATCH($A22,'Smelter Look-up'!$E:$E,0)))</f>
        <v>Tin</v>
      </c>
      <c r="C22" s="221" t="str">
        <f ca="1">IF(LEN(A22)=0,"",INDEX('Smelter Look-up'!$C:$C,MATCH($A22,'Smelter Look-up'!$E:$E,0)))</f>
        <v>EM Vinto</v>
      </c>
      <c r="D22" s="283"/>
      <c r="E22" s="217" t="str">
        <f ca="1">IF(ISERROR($V22),"",OFFSET('Smelter Look-up'!$D$4,$V22-4,0)&amp;"")</f>
        <v>BOLIVIA (PLURINATIONAL STATE OF)</v>
      </c>
      <c r="F22" s="217" t="str">
        <f ca="1">IF(ISERROR($V22),"",OFFSET('Smelter Look-up'!$E$4,$V22-4,0))</f>
        <v>CID000438</v>
      </c>
      <c r="G22" s="217" t="str">
        <f ca="1">IF(C22=$X$4,"Enter smelter details",IF(ISERROR($V22),"",OFFSET('Smelter Look-up'!$F$4,$V22-4,0)))</f>
        <v>RMI</v>
      </c>
      <c r="H22" s="218">
        <f ca="1">IF(ISERROR($V22),"",OFFSET('Smelter Look-up'!$G$4,$V22-4,0))</f>
        <v>0</v>
      </c>
      <c r="I22" s="219" t="str">
        <f ca="1">IF(ISERROR($V22),"",OFFSET('Smelter Look-up'!$H$4,$V22-4,0))</f>
        <v>Oruro</v>
      </c>
      <c r="J22" s="219" t="str">
        <f ca="1">IF(ISERROR($V22),"",OFFSET('Smelter Look-up'!$I$4,$V22-4,0))</f>
        <v>Oruro</v>
      </c>
      <c r="K22" s="273"/>
      <c r="L22" s="273"/>
      <c r="M22" s="273"/>
      <c r="N22" s="273"/>
      <c r="O22" s="273"/>
      <c r="P22" s="220"/>
      <c r="Q22" s="274"/>
      <c r="R22" s="217" t="str">
        <f ca="1">IF(ISERROR($V22),"",OFFSET('Smelter Look-up'!$C$4,$V22-4,0)&amp;"")</f>
        <v>EM Vinto</v>
      </c>
      <c r="S22" s="225" t="str">
        <f t="shared" ca="1" si="3"/>
        <v>BO</v>
      </c>
      <c r="T22" s="225" t="str">
        <f ca="1">IF(B22="","",IF(ISERROR(MATCH($J22,SorP!$B$1:$B$6230,0)),"",INDIRECT("'SorP'!$A$"&amp;MATCH($J22,SorP!$B$1:$B$6230,0))))</f>
        <v>BO-O</v>
      </c>
      <c r="U22" s="241"/>
      <c r="V22" s="275">
        <f ca="1">IF(C22="",NA(),MATCH($B22&amp;$C22,'Smelter Look-up'!$J:$J,0))</f>
        <v>377</v>
      </c>
      <c r="W22" s="276"/>
      <c r="X22" s="276">
        <f t="shared" ca="1" si="4"/>
        <v>0</v>
      </c>
      <c r="Y22" s="276"/>
      <c r="Z22" s="276"/>
      <c r="AB22" s="278" t="str">
        <f t="shared" ca="1" si="5"/>
        <v>TinEM Vinto</v>
      </c>
    </row>
    <row r="23" spans="1:28" s="277" customFormat="1" ht="38.25">
      <c r="A23" s="347" t="s">
        <v>15519</v>
      </c>
      <c r="B23" s="217" t="s">
        <v>1154</v>
      </c>
      <c r="C23" s="221" t="s">
        <v>1898</v>
      </c>
      <c r="D23" s="347" t="s">
        <v>15526</v>
      </c>
      <c r="E23" s="217" t="s">
        <v>1128</v>
      </c>
      <c r="F23" s="347" t="s">
        <v>15519</v>
      </c>
      <c r="G23" s="217" t="str">
        <f ca="1">IF(C23=$X$4,"Enter smelter details",IF(ISERROR($V23),"",OFFSET('Smelter Look-up'!$F$4,$V23-4,0)))</f>
        <v>Enter smelter details</v>
      </c>
      <c r="H23" s="218">
        <f ca="1">IF(ISERROR($V23),"",OFFSET('Smelter Look-up'!$G$4,$V23-4,0))</f>
        <v>0</v>
      </c>
      <c r="I23" s="347" t="s">
        <v>15531</v>
      </c>
      <c r="J23" s="347" t="s">
        <v>13183</v>
      </c>
      <c r="K23" s="347" t="s">
        <v>15537</v>
      </c>
      <c r="L23" s="273"/>
      <c r="M23" s="273"/>
      <c r="N23" s="273"/>
      <c r="O23" s="273"/>
      <c r="P23" s="220"/>
      <c r="Q23" s="274"/>
      <c r="R23" s="217" t="str">
        <f ca="1">IF(ISERROR($V23),"",OFFSET('Smelter Look-up'!$C$4,$V23-4,0)&amp;"")</f>
        <v/>
      </c>
      <c r="S23" s="225" t="str">
        <f t="shared" ca="1" si="3"/>
        <v>ID</v>
      </c>
      <c r="T23" s="225" t="str">
        <f ca="1">IF(B23="","",IF(ISERROR(MATCH($J23,SorP!$B$1:$B$6230,0)),"",INDIRECT("'SorP'!$A$"&amp;MATCH($J23,SorP!$B$1:$B$6230,0))))</f>
        <v>ID-BB</v>
      </c>
      <c r="U23" s="241"/>
      <c r="V23" s="275">
        <f>IF(C23="",NA(),MATCH($B23&amp;$C23,'Smelter Look-up'!$J:$J,0))</f>
        <v>484</v>
      </c>
      <c r="W23" s="276"/>
      <c r="X23" s="276">
        <f t="shared" si="4"/>
        <v>0</v>
      </c>
      <c r="Y23" s="276"/>
      <c r="Z23" s="276"/>
      <c r="AB23" s="278" t="str">
        <f t="shared" si="5"/>
        <v>TinSmelter not listed</v>
      </c>
    </row>
    <row r="24" spans="1:28" s="277" customFormat="1" ht="38.25">
      <c r="A24" s="347" t="s">
        <v>15520</v>
      </c>
      <c r="B24" s="217" t="s">
        <v>1154</v>
      </c>
      <c r="C24" s="221" t="s">
        <v>1898</v>
      </c>
      <c r="D24" s="347" t="s">
        <v>15527</v>
      </c>
      <c r="E24" s="217" t="s">
        <v>1128</v>
      </c>
      <c r="F24" s="347" t="s">
        <v>15520</v>
      </c>
      <c r="G24" s="217" t="str">
        <f ca="1">IF(C24=$X$4,"Enter smelter details",IF(ISERROR($V24),"",OFFSET('Smelter Look-up'!$F$4,$V24-4,0)))</f>
        <v>Enter smelter details</v>
      </c>
      <c r="H24" s="218">
        <f ca="1">IF(ISERROR($V24),"",OFFSET('Smelter Look-up'!$G$4,$V24-4,0))</f>
        <v>0</v>
      </c>
      <c r="I24" s="347" t="s">
        <v>15538</v>
      </c>
      <c r="J24" s="347" t="s">
        <v>13183</v>
      </c>
      <c r="K24" s="347" t="s">
        <v>15539</v>
      </c>
      <c r="L24" s="273"/>
      <c r="M24" s="273"/>
      <c r="N24" s="273"/>
      <c r="O24" s="273"/>
      <c r="P24" s="220"/>
      <c r="Q24" s="274"/>
      <c r="R24" s="217" t="str">
        <f ca="1">IF(ISERROR($V24),"",OFFSET('Smelter Look-up'!$C$4,$V24-4,0)&amp;"")</f>
        <v/>
      </c>
      <c r="S24" s="225" t="str">
        <f t="shared" ca="1" si="3"/>
        <v>ID</v>
      </c>
      <c r="T24" s="225" t="str">
        <f ca="1">IF(B24="","",IF(ISERROR(MATCH($J24,SorP!$B$1:$B$6230,0)),"",INDIRECT("'SorP'!$A$"&amp;MATCH($J24,SorP!$B$1:$B$6230,0))))</f>
        <v>ID-BB</v>
      </c>
      <c r="U24" s="241"/>
      <c r="V24" s="275">
        <f>IF(C24="",NA(),MATCH($B24&amp;$C24,'Smelter Look-up'!$J:$J,0))</f>
        <v>484</v>
      </c>
      <c r="W24" s="276"/>
      <c r="X24" s="276">
        <f t="shared" si="4"/>
        <v>0</v>
      </c>
      <c r="Y24" s="276"/>
      <c r="Z24" s="276"/>
      <c r="AB24" s="278" t="str">
        <f t="shared" si="5"/>
        <v>TinSmelter not listed</v>
      </c>
    </row>
    <row r="25" spans="1:28" s="277" customFormat="1" ht="63.75">
      <c r="A25" s="347" t="s">
        <v>799</v>
      </c>
      <c r="B25" s="217" t="str">
        <f ca="1">IF(LEN(A25)=0,"",INDEX('Smelter Look-up'!$A:$A,MATCH($A25,'Smelter Look-up'!$E:$E,0)))</f>
        <v>Tin</v>
      </c>
      <c r="C25" s="221" t="str">
        <f ca="1">IF(LEN(A25)=0,"",INDEX('Smelter Look-up'!$C:$C,MATCH($A25,'Smelter Look-up'!$E:$E,0)))</f>
        <v>PT Artha Cipta Langgeng</v>
      </c>
      <c r="D25" s="283"/>
      <c r="E25" s="217" t="str">
        <f ca="1">IF(ISERROR($V25),"",OFFSET('Smelter Look-up'!$D$4,$V25-4,0)&amp;"")</f>
        <v>INDONESIA</v>
      </c>
      <c r="F25" s="217" t="str">
        <f ca="1">IF(ISERROR($V25),"",OFFSET('Smelter Look-up'!$E$4,$V25-4,0))</f>
        <v>CID001399</v>
      </c>
      <c r="G25" s="217" t="str">
        <f ca="1">IF(C25=$X$4,"Enter smelter details",IF(ISERROR($V25),"",OFFSET('Smelter Look-up'!$F$4,$V25-4,0)))</f>
        <v>RMI</v>
      </c>
      <c r="H25" s="218">
        <f ca="1">IF(ISERROR($V25),"",OFFSET('Smelter Look-up'!$G$4,$V25-4,0))</f>
        <v>0</v>
      </c>
      <c r="I25" s="219" t="str">
        <f ca="1">IF(ISERROR($V25),"",OFFSET('Smelter Look-up'!$H$4,$V25-4,0))</f>
        <v>Sungailiat</v>
      </c>
      <c r="J25" s="219" t="str">
        <f ca="1">IF(ISERROR($V25),"",OFFSET('Smelter Look-up'!$I$4,$V25-4,0))</f>
        <v>Kepulauan Bangka Belitung</v>
      </c>
      <c r="K25" s="273"/>
      <c r="L25" s="273"/>
      <c r="M25" s="273"/>
      <c r="N25" s="273"/>
      <c r="O25" s="273"/>
      <c r="P25" s="220"/>
      <c r="Q25" s="274"/>
      <c r="R25" s="217" t="str">
        <f ca="1">IF(ISERROR($V25),"",OFFSET('Smelter Look-up'!$C$4,$V25-4,0)&amp;"")</f>
        <v>PT Artha Cipta Langgeng</v>
      </c>
      <c r="S25" s="225" t="str">
        <f t="shared" ca="1" si="3"/>
        <v>ID</v>
      </c>
      <c r="T25" s="225" t="str">
        <f ca="1">IF(B25="","",IF(ISERROR(MATCH($J25,SorP!$B$1:$B$6230,0)),"",INDIRECT("'SorP'!$A$"&amp;MATCH($J25,SorP!$B$1:$B$6230,0))))</f>
        <v>ID-BB</v>
      </c>
      <c r="U25" s="241"/>
      <c r="V25" s="275">
        <f ca="1">IF(C25="",NA(),MATCH($B25&amp;$C25,'Smelter Look-up'!$J:$J,0))</f>
        <v>438</v>
      </c>
      <c r="W25" s="276"/>
      <c r="X25" s="276">
        <f t="shared" ca="1" si="4"/>
        <v>0</v>
      </c>
      <c r="Y25" s="276"/>
      <c r="Z25" s="276"/>
      <c r="AB25" s="278" t="str">
        <f t="shared" ca="1" si="5"/>
        <v>TinPT Artha Cipta Langgeng</v>
      </c>
    </row>
    <row r="26" spans="1:28" s="277" customFormat="1" ht="38.25">
      <c r="A26" s="347" t="s">
        <v>15521</v>
      </c>
      <c r="B26" s="217" t="s">
        <v>1154</v>
      </c>
      <c r="C26" s="221" t="s">
        <v>1898</v>
      </c>
      <c r="D26" s="347" t="s">
        <v>15528</v>
      </c>
      <c r="E26" s="217" t="s">
        <v>1128</v>
      </c>
      <c r="F26" s="347" t="s">
        <v>15521</v>
      </c>
      <c r="G26" s="217" t="str">
        <f ca="1">IF(C26=$X$4,"Enter smelter details",IF(ISERROR($V26),"",OFFSET('Smelter Look-up'!$F$4,$V26-4,0)))</f>
        <v>Enter smelter details</v>
      </c>
      <c r="H26" s="218">
        <f ca="1">IF(ISERROR($V26),"",OFFSET('Smelter Look-up'!$G$4,$V26-4,0))</f>
        <v>0</v>
      </c>
      <c r="I26" s="347" t="s">
        <v>15531</v>
      </c>
      <c r="J26" s="347" t="s">
        <v>13183</v>
      </c>
      <c r="K26" s="347" t="s">
        <v>15540</v>
      </c>
      <c r="L26" s="273"/>
      <c r="M26" s="273"/>
      <c r="N26" s="273"/>
      <c r="O26" s="273"/>
      <c r="P26" s="220"/>
      <c r="Q26" s="274"/>
      <c r="R26" s="217" t="str">
        <f ca="1">IF(ISERROR($V26),"",OFFSET('Smelter Look-up'!$C$4,$V26-4,0)&amp;"")</f>
        <v/>
      </c>
      <c r="S26" s="225" t="str">
        <f t="shared" ca="1" si="3"/>
        <v>ID</v>
      </c>
      <c r="T26" s="225" t="str">
        <f ca="1">IF(B26="","",IF(ISERROR(MATCH($J26,SorP!$B$1:$B$6230,0)),"",INDIRECT("'SorP'!$A$"&amp;MATCH($J26,SorP!$B$1:$B$6230,0))))</f>
        <v>ID-BB</v>
      </c>
      <c r="U26" s="241"/>
      <c r="V26" s="275">
        <f>IF(C26="",NA(),MATCH($B26&amp;$C26,'Smelter Look-up'!$J:$J,0))</f>
        <v>484</v>
      </c>
      <c r="W26" s="276"/>
      <c r="X26" s="276">
        <f t="shared" si="4"/>
        <v>0</v>
      </c>
      <c r="Y26" s="276"/>
      <c r="Z26" s="276"/>
      <c r="AB26" s="278" t="str">
        <f t="shared" si="5"/>
        <v>TinSmelter not listed</v>
      </c>
    </row>
    <row r="27" spans="1:28" s="277" customFormat="1" ht="63.75">
      <c r="A27" s="347" t="s">
        <v>798</v>
      </c>
      <c r="B27" s="217" t="str">
        <f ca="1">IF(LEN(A27)=0,"",INDEX('Smelter Look-up'!$A:$A,MATCH($A27,'Smelter Look-up'!$E:$E,0)))</f>
        <v>Tin</v>
      </c>
      <c r="C27" s="221" t="str">
        <f ca="1">IF(LEN(A27)=0,"",INDEX('Smelter Look-up'!$C:$C,MATCH($A27,'Smelter Look-up'!$E:$E,0)))</f>
        <v>Operaciones Metalurgicas S.A.</v>
      </c>
      <c r="D27" s="283"/>
      <c r="E27" s="217" t="str">
        <f ca="1">IF(ISERROR($V27),"",OFFSET('Smelter Look-up'!$D$4,$V27-4,0)&amp;"")</f>
        <v>BOLIVIA (PLURINATIONAL STATE OF)</v>
      </c>
      <c r="F27" s="217" t="str">
        <f ca="1">IF(ISERROR($V27),"",OFFSET('Smelter Look-up'!$E$4,$V27-4,0))</f>
        <v>CID001337</v>
      </c>
      <c r="G27" s="217" t="str">
        <f ca="1">IF(C27=$X$4,"Enter smelter details",IF(ISERROR($V27),"",OFFSET('Smelter Look-up'!$F$4,$V27-4,0)))</f>
        <v>RMI</v>
      </c>
      <c r="H27" s="218">
        <f ca="1">IF(ISERROR($V27),"",OFFSET('Smelter Look-up'!$G$4,$V27-4,0))</f>
        <v>0</v>
      </c>
      <c r="I27" s="219" t="str">
        <f ca="1">IF(ISERROR($V27),"",OFFSET('Smelter Look-up'!$H$4,$V27-4,0))</f>
        <v>Oruro</v>
      </c>
      <c r="J27" s="219" t="str">
        <f ca="1">IF(ISERROR($V27),"",OFFSET('Smelter Look-up'!$I$4,$V27-4,0))</f>
        <v>Oruro</v>
      </c>
      <c r="K27" s="273"/>
      <c r="L27" s="273"/>
      <c r="M27" s="273"/>
      <c r="N27" s="273"/>
      <c r="O27" s="273"/>
      <c r="P27" s="220"/>
      <c r="Q27" s="274"/>
      <c r="R27" s="217" t="str">
        <f ca="1">IF(ISERROR($V27),"",OFFSET('Smelter Look-up'!$C$4,$V27-4,0)&amp;"")</f>
        <v>Operaciones Metalurgicas S.A.</v>
      </c>
      <c r="S27" s="225" t="str">
        <f t="shared" ca="1" si="3"/>
        <v>BO</v>
      </c>
      <c r="T27" s="225" t="str">
        <f ca="1">IF(B27="","",IF(ISERROR(MATCH($J27,SorP!$B$1:$B$6230,0)),"",INDIRECT("'SorP'!$A$"&amp;MATCH($J27,SorP!$B$1:$B$6230,0))))</f>
        <v>BO-O</v>
      </c>
      <c r="U27" s="241"/>
      <c r="V27" s="275">
        <f ca="1">IF(C27="",NA(),MATCH($B27&amp;$C27,'Smelter Look-up'!$J:$J,0))</f>
        <v>434</v>
      </c>
      <c r="W27" s="276"/>
      <c r="X27" s="276">
        <f t="shared" ca="1" si="4"/>
        <v>0</v>
      </c>
      <c r="Y27" s="276"/>
      <c r="Z27" s="276"/>
      <c r="AB27" s="278" t="str">
        <f t="shared" ca="1" si="5"/>
        <v>TinOperaciones Metalurgicas S.A.</v>
      </c>
    </row>
    <row r="28" spans="1:28" s="277" customFormat="1" ht="51">
      <c r="A28" s="347" t="s">
        <v>824</v>
      </c>
      <c r="B28" s="217" t="str">
        <f ca="1">IF(LEN(A28)=0,"",INDEX('Smelter Look-up'!$A:$A,MATCH($A28,'Smelter Look-up'!$E:$E,0)))</f>
        <v>Tin</v>
      </c>
      <c r="C28" s="221" t="str">
        <f ca="1">IF(LEN(A28)=0,"",INDEX('Smelter Look-up'!$C:$C,MATCH($A28,'Smelter Look-up'!$E:$E,0)))</f>
        <v>PT Timah Tbk Kundur</v>
      </c>
      <c r="D28" s="283"/>
      <c r="E28" s="217" t="str">
        <f ca="1">IF(ISERROR($V28),"",OFFSET('Smelter Look-up'!$D$4,$V28-4,0)&amp;"")</f>
        <v>INDONESIA</v>
      </c>
      <c r="F28" s="217" t="str">
        <f ca="1">IF(ISERROR($V28),"",OFFSET('Smelter Look-up'!$E$4,$V28-4,0))</f>
        <v>CID001477</v>
      </c>
      <c r="G28" s="217" t="str">
        <f ca="1">IF(C28=$X$4,"Enter smelter details",IF(ISERROR($V28),"",OFFSET('Smelter Look-up'!$F$4,$V28-4,0)))</f>
        <v>RMI</v>
      </c>
      <c r="H28" s="218">
        <f ca="1">IF(ISERROR($V28),"",OFFSET('Smelter Look-up'!$G$4,$V28-4,0))</f>
        <v>0</v>
      </c>
      <c r="I28" s="219" t="str">
        <f ca="1">IF(ISERROR($V28),"",OFFSET('Smelter Look-up'!$H$4,$V28-4,0))</f>
        <v>Kundur</v>
      </c>
      <c r="J28" s="219" t="str">
        <f ca="1">IF(ISERROR($V28),"",OFFSET('Smelter Look-up'!$I$4,$V28-4,0))</f>
        <v>Riau</v>
      </c>
      <c r="K28" s="273"/>
      <c r="L28" s="273"/>
      <c r="M28" s="273"/>
      <c r="N28" s="273"/>
      <c r="O28" s="273"/>
      <c r="P28" s="220"/>
      <c r="Q28" s="274"/>
      <c r="R28" s="217" t="str">
        <f ca="1">IF(ISERROR($V28),"",OFFSET('Smelter Look-up'!$C$4,$V28-4,0)&amp;"")</f>
        <v>PT Timah Tbk Kundur</v>
      </c>
      <c r="S28" s="225" t="str">
        <f t="shared" ca="1" si="3"/>
        <v>ID</v>
      </c>
      <c r="T28" s="225" t="str">
        <f ca="1">IF(B28="","",IF(ISERROR(MATCH($J28,SorP!$B$1:$B$6230,0)),"",INDIRECT("'SorP'!$A$"&amp;MATCH($J28,SorP!$B$1:$B$6230,0))))</f>
        <v>ID-RI</v>
      </c>
      <c r="U28" s="241"/>
      <c r="V28" s="275">
        <f ca="1">IF(C28="",NA(),MATCH($B28&amp;$C28,'Smelter Look-up'!$J:$J,0))</f>
        <v>445</v>
      </c>
      <c r="W28" s="276"/>
      <c r="X28" s="276">
        <f t="shared" ca="1" si="4"/>
        <v>0</v>
      </c>
      <c r="Y28" s="276"/>
      <c r="Z28" s="276"/>
      <c r="AB28" s="278" t="str">
        <f t="shared" ca="1" si="5"/>
        <v>TinPT Timah Tbk Kundur</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6 F22 F25 F27: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Champlain Cable Corporation</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Jordan Mayer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jmayer@champcable.com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802-654-4280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Jordan Mayer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jmayer@champcable.com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44047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https://www.champcable.com/suppliers/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45"/>
    </row>
    <row r="2" spans="1:6">
      <c r="A2" s="29"/>
      <c r="B2" s="147"/>
      <c r="C2" s="147"/>
      <c r="D2"/>
      <c r="E2" s="30"/>
    </row>
    <row r="3" spans="1:6">
      <c r="A3" s="29"/>
      <c r="B3" s="147"/>
      <c r="C3" s="147"/>
      <c r="D3" s="147"/>
      <c r="E3" s="30"/>
    </row>
    <row r="4" spans="1:6" ht="15.75" customHeight="1">
      <c r="A4" s="29"/>
      <c r="B4" s="448" t="s">
        <v>921</v>
      </c>
      <c r="C4" s="448"/>
      <c r="D4" s="448"/>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1" t="str">
        <f ca="1">OFFSET(L!$C$1,MATCH("General"&amp;"Cpy",L!$A:$A,0)-1,SL,,)</f>
        <v>© 2020 Responsible Minerals Initiative. All rights reserved.</v>
      </c>
      <c r="C1001" s="451"/>
      <c r="D1001" s="451"/>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E5" sqref="E5"/>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purl.org/dc/terms/"/>
    <ds:schemaRef ds:uri="http://schemas.microsoft.com/office/infopath/2007/PartnerControls"/>
    <ds:schemaRef ds:uri="http://www.w3.org/XML/1998/namespace"/>
    <ds:schemaRef ds:uri="http://schemas.openxmlformats.org/package/2006/metadata/core-properties"/>
    <ds:schemaRef ds:uri="http://purl.org/dc/dcmitype/"/>
    <ds:schemaRef ds:uri="060324a1-f66f-4c36-a8ec-beadbf2f4219"/>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Mayer, Jordan</cp:lastModifiedBy>
  <cp:lastPrinted>2015-04-21T20:47:43Z</cp:lastPrinted>
  <dcterms:created xsi:type="dcterms:W3CDTF">2010-06-21T21:00:23Z</dcterms:created>
  <dcterms:modified xsi:type="dcterms:W3CDTF">2020-08-04T11:41:30Z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