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Y:\Product Compliance\Certifications\Cobalt Free\"/>
    </mc:Choice>
  </mc:AlternateContent>
  <workbookProtection workbookAlgorithmName="SHA-512" workbookHashValue="0x5uFPcrb8s73dYP3YKvANKqm2AnGP6Kd9bK7HSuZeQZw5x1rNqHZkfUZZoqLZBqeZrVP4QbekLPWfZ2Tb8gPg==" workbookSaltValue="hAkqLxSCkaHf1J3qTL/zTw==" workbookSpinCount="100000" lockStructure="1"/>
  <bookViews>
    <workbookView xWindow="57480" yWindow="-120" windowWidth="24240" windowHeight="1314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B56" i="6"/>
  <c r="G56" i="6" l="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s="1"/>
  <c r="H12" i="6" s="1"/>
  <c r="D12" i="6" s="1"/>
  <c r="B11" i="6"/>
  <c r="G11" i="6" s="1"/>
  <c r="H11" i="6" s="1"/>
  <c r="D11" i="6" s="1"/>
  <c r="B10" i="6"/>
  <c r="G10" i="6" s="1"/>
  <c r="H10" i="6" s="1"/>
  <c r="D10" i="6" s="1"/>
  <c r="B9" i="6"/>
  <c r="G9" i="6"/>
  <c r="H9" i="6" s="1"/>
  <c r="D9" i="6" s="1"/>
  <c r="B8" i="6"/>
  <c r="G8" i="6" s="1"/>
  <c r="H8" i="6" s="1"/>
  <c r="D8" i="6" s="1"/>
  <c r="B7" i="6"/>
  <c r="G7" i="6"/>
  <c r="H7" i="6"/>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c r="D17" i="6"/>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I315" i="5"/>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F43" i="6"/>
  <c r="H43" i="6"/>
  <c r="D43" i="6"/>
  <c r="F28" i="6"/>
  <c r="H28" i="6"/>
  <c r="D28" i="6"/>
  <c r="F33" i="6"/>
  <c r="H33" i="6"/>
  <c r="D33" i="6"/>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c r="D18" i="6"/>
  <c r="F32" i="6"/>
  <c r="H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H37" i="6"/>
  <c r="D37" i="6"/>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D38" i="6"/>
  <c r="F1435" i="5"/>
  <c r="H549" i="5"/>
  <c r="I549" i="5"/>
  <c r="J513" i="5"/>
  <c r="I441" i="5"/>
  <c r="J441" i="5"/>
  <c r="E441" i="5"/>
  <c r="X441" i="5" s="1"/>
  <c r="G441" i="5"/>
  <c r="H361" i="5"/>
  <c r="J361" i="5"/>
  <c r="E361" i="5"/>
  <c r="X361" i="5" s="1"/>
  <c r="D32" i="6"/>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L59" i="6" l="1"/>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C10" i="6" s="1"/>
  <c r="J50" i="6"/>
  <c r="A30" i="2"/>
  <c r="B3" i="3"/>
  <c r="J18" i="6"/>
  <c r="D1" i="6"/>
  <c r="I30" i="6"/>
  <c r="J47" i="6"/>
  <c r="B34" i="4"/>
  <c r="B52" i="4" s="1"/>
  <c r="A37" i="6" s="1"/>
  <c r="A34" i="2"/>
  <c r="J13" i="6"/>
  <c r="C13" i="6" s="1"/>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I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J1778" i="5"/>
  <c r="F1778" i="5"/>
  <c r="E1778" i="5"/>
  <c r="X1778" i="5" s="1"/>
  <c r="I1778"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E1797" i="5" s="1"/>
  <c r="X1797" i="5" s="1"/>
  <c r="AB1797" i="5"/>
  <c r="V1789" i="5"/>
  <c r="AB1789" i="5"/>
  <c r="V1765" i="5"/>
  <c r="AB1765" i="5"/>
  <c r="V1749" i="5"/>
  <c r="AB1749" i="5"/>
  <c r="V1725" i="5"/>
  <c r="H1725" i="5" s="1"/>
  <c r="AB1725" i="5"/>
  <c r="V1717" i="5"/>
  <c r="AB1717" i="5"/>
  <c r="V1709" i="5"/>
  <c r="AB1709" i="5"/>
  <c r="AB1701" i="5"/>
  <c r="V1701" i="5"/>
  <c r="V1693" i="5"/>
  <c r="AB1693" i="5"/>
  <c r="AB1685" i="5"/>
  <c r="V1685" i="5"/>
  <c r="V1669" i="5"/>
  <c r="AB1669" i="5"/>
  <c r="AB1653" i="5"/>
  <c r="V1653" i="5"/>
  <c r="J1653" i="5" s="1"/>
  <c r="AB1637" i="5"/>
  <c r="V1637" i="5"/>
  <c r="I1637" i="5" s="1"/>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H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E2101" i="5"/>
  <c r="X2101" i="5" s="1"/>
  <c r="J2101" i="5"/>
  <c r="G2101" i="5"/>
  <c r="F2101" i="5"/>
  <c r="I2093" i="5"/>
  <c r="J2093" i="5"/>
  <c r="F2093" i="5"/>
  <c r="E2093" i="5"/>
  <c r="X2093" i="5" s="1"/>
  <c r="I1997" i="5"/>
  <c r="R1901" i="5"/>
  <c r="G1861" i="5"/>
  <c r="J1861" i="5"/>
  <c r="I1837" i="5"/>
  <c r="E1837" i="5"/>
  <c r="X1837" i="5" s="1"/>
  <c r="J1837" i="5"/>
  <c r="E1829" i="5"/>
  <c r="X1829" i="5" s="1"/>
  <c r="J1829" i="5"/>
  <c r="H1821" i="5"/>
  <c r="E1821" i="5"/>
  <c r="X1821" i="5" s="1"/>
  <c r="J1821" i="5"/>
  <c r="E1789" i="5"/>
  <c r="X1789" i="5" s="1"/>
  <c r="J1789" i="5"/>
  <c r="R1749" i="5"/>
  <c r="G1749" i="5"/>
  <c r="E1749" i="5"/>
  <c r="X1749" i="5" s="1"/>
  <c r="J1749"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G1333" i="5"/>
  <c r="F1333" i="5"/>
  <c r="F1325" i="5"/>
  <c r="G1325" i="5"/>
  <c r="R1325" i="5"/>
  <c r="G1309" i="5"/>
  <c r="G1285" i="5"/>
  <c r="F1261"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s="1"/>
  <c r="G72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J1317" i="5"/>
  <c r="E1277" i="5"/>
  <c r="X1277" i="5" s="1"/>
  <c r="H1261" i="5"/>
  <c r="E1261" i="5"/>
  <c r="X1261" i="5" s="1"/>
  <c r="I1261" i="5"/>
  <c r="J1261" i="5"/>
  <c r="J1253" i="5"/>
  <c r="E1253" i="5"/>
  <c r="X1253" i="5" s="1"/>
  <c r="H1253" i="5"/>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H2421" i="5"/>
  <c r="J2413" i="5"/>
  <c r="R2413" i="5"/>
  <c r="F2413" i="5"/>
  <c r="E2413" i="5"/>
  <c r="X2413" i="5" s="1"/>
  <c r="R2389" i="5"/>
  <c r="G2389" i="5"/>
  <c r="I2389" i="5"/>
  <c r="H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62" i="4"/>
  <c r="G55" i="4"/>
  <c r="G37"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11" i="6" l="1"/>
  <c r="C9" i="6"/>
  <c r="C8" i="6"/>
  <c r="C7"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authors>
    <author>Connors, Jared M</author>
  </authors>
  <commentList>
    <comment ref="J129"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<sst xmlns="http://schemas.openxmlformats.org/spreadsheetml/2006/main" count="17115" uniqueCount="14068">
  <si>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</si>
  <si>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</si>
  <si>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</si>
  <si>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</si>
  <si>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</si>
  <si>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</si>
  <si>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</si>
  <si>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</si>
  <si>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</si>
  <si>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</si>
  <si>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</si>
  <si>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</si>
  <si>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</si>
  <si>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</si>
  <si>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</si>
  <si>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</si>
  <si>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</si>
  <si>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</si>
  <si>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</si>
  <si>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</si>
  <si>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</si>
  <si>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</si>
  <si>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</si>
  <si>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</si>
  <si>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</si>
  <si>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</si>
  <si>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</si>
  <si>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</si>
  <si>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</si>
  <si>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</si>
  <si>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</si>
  <si>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</si>
  <si>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</si>
  <si>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</si>
  <si>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</si>
  <si>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</si>
  <si>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</si>
  <si>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</si>
  <si>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</si>
  <si>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</si>
  <si>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</si>
  <si>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</si>
  <si>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</si>
  <si>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</si>
  <si>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</si>
  <si>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</si>
  <si>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</si>
  <si>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</si>
  <si>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</si>
  <si>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</si>
  <si>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</si>
  <si>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</si>
  <si>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</si>
  <si>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</si>
  <si>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</si>
  <si>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</si>
  <si>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</si>
  <si>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</si>
  <si>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</si>
  <si>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</si>
  <si>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</si>
  <si>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</si>
  <si>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</si>
  <si>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</si>
  <si>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</si>
  <si>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</si>
  <si>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</si>
  <si>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</si>
  <si>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</si>
  <si>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</si>
  <si>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</si>
  <si>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</si>
  <si>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</si>
  <si>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</si>
  <si>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</si>
  <si>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</si>
  <si>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</si>
  <si>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</si>
  <si>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</si>
  <si>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</si>
  <si>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</si>
  <si>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</si>
  <si>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</si>
  <si>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</si>
  <si>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</si>
  <si>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</si>
  <si>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</si>
  <si>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</si>
  <si>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</si>
  <si>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</si>
  <si>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</si>
  <si>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</si>
  <si>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</si>
  <si>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</si>
  <si>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</si>
  <si>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</si>
  <si>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</si>
  <si>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</si>
  <si>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</si>
  <si>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</si>
  <si>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</si>
  <si>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</si>
  <si>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</si>
  <si>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</si>
  <si>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</si>
  <si>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</si>
  <si>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</si>
  <si>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</si>
  <si>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</si>
  <si>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</si>
  <si>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</si>
  <si>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</si>
  <si>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</si>
  <si>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</si>
  <si>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</si>
  <si>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</si>
  <si>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</si>
  <si>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</si>
  <si>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</si>
  <si>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</si>
  <si>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</si>
  <si>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</si>
  <si>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</si>
  <si>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</si>
  <si>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</si>
  <si>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</si>
  <si>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</si>
  <si>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</si>
  <si>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</si>
  <si>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</si>
  <si>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</si>
  <si>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</si>
  <si>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</si>
  <si>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</si>
  <si>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</si>
  <si>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</si>
  <si>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</si>
  <si>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</si>
  <si>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</si>
  <si>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</si>
  <si>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</si>
  <si>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</si>
  <si>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</si>
  <si>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</si>
  <si>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</si>
  <si>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</si>
  <si>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</si>
  <si>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</si>
  <si>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</si>
  <si>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</si>
  <si>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</si>
  <si>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</si>
  <si>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</si>
  <si>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</si>
  <si>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</si>
  <si>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</si>
  <si>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</si>
  <si>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</si>
  <si>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</si>
  <si>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</si>
  <si>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</si>
  <si>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</si>
  <si>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</si>
  <si>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</si>
  <si>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</si>
  <si>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</si>
  <si>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</si>
  <si>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</si>
  <si>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</si>
  <si>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</si>
  <si>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</si>
  <si>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</si>
  <si>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</si>
  <si>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</si>
  <si>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</si>
  <si>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</si>
  <si>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</si>
  <si>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</si>
  <si>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</si>
  <si>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</si>
  <si>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</si>
  <si>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</si>
  <si>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</si>
  <si>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</si>
  <si>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</si>
  <si>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</si>
  <si>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</si>
  <si>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</si>
  <si>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</si>
  <si>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</si>
  <si>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</si>
  <si>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</si>
  <si>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</si>
  <si>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</si>
  <si>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</si>
  <si>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</si>
  <si>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</si>
  <si>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</si>
  <si>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</si>
  <si>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</si>
  <si>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</si>
  <si>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</si>
  <si>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</si>
  <si>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</si>
  <si>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</si>
  <si>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</si>
  <si>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</si>
  <si>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</si>
  <si>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</si>
  <si>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</si>
  <si>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</si>
  <si>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</si>
  <si>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</si>
  <si>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</si>
  <si>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</si>
  <si>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</si>
  <si>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</si>
  <si>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</si>
  <si>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</si>
  <si>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</si>
  <si>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</si>
  <si>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</si>
  <si>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</si>
  <si>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</si>
  <si>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</si>
  <si>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</si>
  <si>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</si>
  <si>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</si>
  <si>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</si>
  <si>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</si>
  <si>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</si>
  <si>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</si>
  <si>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</si>
  <si>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</si>
  <si>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</si>
  <si>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</si>
  <si>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</si>
  <si>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</si>
  <si>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</si>
  <si>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</si>
  <si>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</si>
  <si>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</si>
  <si>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</si>
  <si>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</si>
  <si>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</si>
  <si>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</si>
  <si>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</si>
  <si>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</si>
  <si>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</si>
  <si>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</si>
  <si>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</si>
  <si>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</si>
  <si>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</si>
  <si>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</si>
  <si>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</si>
  <si>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</si>
  <si>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</si>
  <si>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</si>
  <si>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</si>
  <si>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</si>
  <si>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</si>
  <si>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</si>
  <si>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</si>
  <si>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</si>
  <si>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</si>
  <si>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</si>
  <si>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</si>
  <si>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</si>
  <si>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</si>
  <si>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</si>
  <si>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</si>
  <si>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</si>
  <si>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</si>
  <si>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</si>
  <si>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</si>
  <si>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</si>
  <si>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</si>
  <si>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</si>
  <si>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</si>
  <si>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</si>
  <si>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</si>
  <si>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</si>
  <si>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</si>
  <si>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</si>
  <si>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</si>
  <si>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</si>
  <si>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</si>
  <si>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</si>
  <si>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</si>
  <si>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</si>
  <si>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</si>
  <si>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</si>
  <si>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</si>
  <si>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</si>
  <si>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</si>
  <si>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</si>
  <si>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</si>
  <si>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</si>
  <si>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</si>
  <si>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</si>
  <si>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</si>
  <si>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</si>
  <si>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</si>
  <si>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</si>
  <si>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</si>
  <si>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</si>
  <si>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</si>
  <si>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</si>
  <si>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</si>
  <si>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</si>
  <si>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</si>
  <si>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</si>
  <si>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</si>
  <si>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</si>
  <si>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</si>
  <si>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</si>
  <si>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</si>
  <si>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</si>
  <si>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</si>
  <si>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</si>
  <si>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</si>
  <si>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</si>
  <si>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</si>
  <si>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</si>
  <si>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</si>
  <si>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</si>
  <si>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</si>
  <si>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</si>
  <si>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</si>
  <si>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</si>
  <si>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</si>
  <si>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</si>
  <si>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</si>
  <si>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</si>
  <si>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</si>
  <si>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</si>
  <si>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</si>
  <si>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</si>
  <si>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</si>
  <si>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</si>
  <si>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</si>
  <si>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</si>
  <si>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</si>
  <si>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</si>
  <si>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</si>
  <si>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</si>
  <si>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</si>
  <si>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</si>
  <si>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</si>
  <si>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</si>
  <si>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</si>
  <si>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</si>
  <si>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</si>
  <si>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</si>
  <si>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</si>
  <si>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</si>
  <si>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</si>
  <si>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</si>
  <si>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</si>
  <si>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</si>
  <si>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</si>
  <si>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</si>
  <si>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</si>
  <si>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</si>
  <si>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</si>
  <si>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</si>
  <si>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</si>
  <si>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</si>
  <si>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</si>
  <si>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</si>
  <si>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</si>
  <si>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</si>
  <si>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</si>
  <si>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</si>
  <si>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</si>
  <si>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</si>
  <si>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</si>
  <si>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</si>
  <si>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</si>
  <si>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</si>
  <si>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</si>
  <si>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</si>
  <si>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</si>
  <si>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</si>
  <si>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</si>
  <si>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</si>
  <si>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</si>
  <si>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</si>
  <si>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</si>
  <si>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</si>
  <si>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</si>
  <si>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</si>
  <si>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</si>
  <si>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</si>
  <si>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</si>
  <si>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</si>
  <si>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</si>
  <si>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</si>
  <si>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</si>
  <si>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</si>
  <si>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</si>
  <si>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</si>
  <si>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</si>
  <si>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</si>
  <si>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</si>
  <si>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</si>
  <si>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</si>
  <si>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</si>
  <si>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</si>
  <si>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</si>
  <si>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</si>
  <si>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</si>
  <si>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</si>
  <si>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</si>
  <si>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</si>
  <si>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</si>
  <si>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</si>
  <si>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</si>
  <si>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</si>
  <si>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</si>
  <si>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</si>
  <si>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</si>
  <si>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</si>
  <si>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</si>
  <si>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</si>
  <si>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</si>
  <si>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</si>
  <si>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</si>
  <si>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</si>
  <si>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</si>
  <si>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</si>
  <si>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</si>
  <si>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</si>
  <si>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</si>
  <si>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</si>
  <si>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</si>
  <si>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</si>
  <si>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</si>
  <si>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</si>
  <si>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</si>
  <si>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</si>
  <si>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</si>
  <si>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</si>
  <si>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</si>
  <si>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</si>
  <si>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</si>
  <si>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</si>
  <si>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</si>
  <si>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</si>
  <si>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</si>
  <si>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</si>
  <si>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</si>
  <si>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</si>
  <si>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</si>
  <si>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</si>
  <si>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</si>
  <si>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</si>
  <si>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</si>
  <si>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</si>
  <si>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</si>
  <si>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</si>
  <si>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</si>
  <si>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</si>
  <si>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</si>
  <si>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</si>
  <si>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</si>
  <si>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</si>
  <si>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</si>
  <si>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</si>
  <si>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</si>
  <si>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</si>
  <si>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</si>
  <si>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</si>
  <si>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</si>
  <si>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</si>
  <si>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</si>
  <si>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</si>
  <si>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</si>
  <si>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</si>
  <si>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</si>
  <si>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</si>
  <si>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</si>
  <si>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</si>
  <si>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</si>
  <si>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</si>
  <si>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</si>
  <si>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</si>
  <si>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</si>
  <si>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</si>
  <si>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</si>
  <si>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</si>
  <si>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</si>
  <si>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</si>
  <si>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</si>
  <si>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</si>
  <si>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</si>
  <si>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</si>
  <si>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</si>
  <si>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</si>
  <si>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</si>
  <si>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</si>
  <si>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</si>
  <si>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</si>
  <si>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</si>
  <si>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</si>
  <si>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</si>
  <si>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</si>
  <si>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</si>
  <si>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</si>
  <si>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</si>
  <si>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</si>
  <si>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</si>
  <si>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</si>
  <si>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</si>
  <si>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</si>
  <si>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</si>
  <si>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</si>
  <si>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</si>
  <si>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</si>
  <si>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</si>
  <si>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</si>
  <si>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</si>
  <si>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</si>
  <si>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</si>
  <si>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</si>
  <si>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</si>
  <si>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</si>
  <si>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</si>
  <si>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</si>
  <si>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</si>
  <si>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</si>
  <si>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</si>
  <si>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</si>
  <si>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</si>
  <si>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</si>
  <si>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</si>
  <si>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</si>
  <si>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</si>
  <si>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</si>
  <si>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</si>
  <si>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</si>
  <si>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</si>
  <si>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</si>
  <si>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</si>
  <si>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</si>
  <si>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</si>
  <si>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</si>
  <si>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</si>
  <si>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</si>
  <si>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</si>
  <si>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</si>
  <si>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</si>
  <si>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</si>
  <si>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</si>
  <si>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</si>
  <si>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</si>
  <si>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</si>
  <si>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</si>
  <si>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</si>
  <si>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</si>
  <si>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</si>
  <si>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</si>
  <si>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</si>
  <si>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</si>
  <si>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</si>
  <si>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</si>
  <si>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</si>
  <si>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</si>
  <si>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</si>
  <si>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</si>
  <si>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</si>
  <si>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</si>
  <si>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</si>
  <si>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</si>
  <si>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</si>
  <si>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</si>
  <si>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</si>
  <si>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</si>
  <si>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</si>
  <si>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</si>
  <si>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</si>
  <si>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</si>
  <si>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</si>
  <si>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</si>
  <si>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</si>
  <si>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</si>
  <si>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</si>
  <si>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</si>
  <si>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</si>
  <si>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</si>
  <si>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</si>
  <si>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</si>
  <si>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</si>
  <si>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</si>
  <si>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</si>
  <si>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</si>
  <si>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</si>
  <si>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</si>
  <si>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</si>
  <si>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</si>
  <si>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</si>
  <si>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</si>
  <si>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</si>
  <si>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</si>
  <si>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</si>
  <si>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</si>
  <si>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</si>
  <si>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</si>
  <si>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</si>
  <si>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</si>
  <si>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</si>
  <si>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</si>
  <si>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</si>
  <si>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</si>
  <si>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</si>
  <si>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</si>
  <si>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</si>
  <si>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</si>
  <si>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</si>
  <si>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</si>
  <si>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</si>
  <si>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</si>
  <si>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</si>
  <si>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</si>
  <si>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</si>
  <si>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</si>
  <si>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</si>
  <si>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</si>
  <si>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</si>
  <si>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</si>
  <si>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</si>
  <si>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</si>
  <si>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</si>
  <si>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</si>
  <si>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</si>
  <si>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</si>
  <si>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</si>
  <si>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</si>
  <si>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</si>
  <si>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</si>
  <si>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</si>
  <si>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</si>
  <si>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</si>
  <si>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</si>
  <si>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</si>
  <si>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</si>
  <si>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</si>
  <si>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</si>
  <si>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</si>
  <si>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</si>
  <si>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</si>
  <si>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</si>
  <si>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</si>
  <si>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</si>
  <si>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</si>
  <si>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</si>
  <si>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</si>
  <si>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</si>
  <si>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</si>
  <si>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</si>
  <si>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</si>
  <si>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</si>
  <si>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</si>
  <si>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</si>
  <si>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</si>
  <si>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</si>
  <si>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</si>
  <si>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</si>
  <si>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</si>
  <si>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</si>
  <si>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</si>
  <si>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</si>
  <si>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</si>
  <si>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</si>
  <si>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</si>
  <si>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</si>
  <si>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</si>
  <si>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</si>
  <si>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</si>
  <si>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</si>
  <si>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</si>
  <si>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</si>
  <si>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</si>
  <si>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</si>
  <si>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</si>
  <si>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</si>
  <si>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</si>
  <si>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</si>
  <si>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</si>
  <si>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</si>
  <si>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</si>
  <si>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</si>
  <si>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</si>
  <si>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</si>
  <si>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</si>
  <si>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</si>
  <si>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</si>
  <si>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</si>
  <si>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</si>
  <si>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</si>
  <si>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</si>
  <si>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</si>
  <si>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</si>
  <si>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</si>
  <si>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</si>
  <si>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</si>
  <si>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</si>
  <si>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</si>
  <si>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</si>
  <si>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</si>
  <si>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</si>
  <si>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</si>
  <si>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</si>
  <si>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</si>
  <si>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</si>
  <si>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</si>
  <si>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</si>
  <si>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</si>
  <si>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</si>
  <si>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</si>
  <si>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</si>
  <si>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</si>
  <si>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</si>
  <si>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</si>
  <si>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</si>
  <si>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</si>
  <si>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</si>
  <si>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</si>
  <si>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</si>
  <si>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</si>
  <si>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</si>
  <si>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</si>
  <si>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</si>
  <si>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</si>
  <si>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</si>
  <si>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</si>
  <si>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</si>
  <si>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</si>
  <si>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</si>
  <si>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</si>
  <si>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</si>
  <si>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</si>
  <si>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</si>
  <si>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</si>
  <si>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</si>
  <si>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</si>
  <si>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</si>
  <si>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</si>
  <si>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</si>
  <si>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</si>
  <si>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</si>
  <si>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</si>
  <si>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</si>
  <si>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</si>
  <si>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</si>
  <si>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</si>
  <si>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</si>
  <si>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</si>
  <si>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</si>
  <si>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</si>
  <si>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</si>
  <si>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</si>
  <si>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</si>
  <si>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</si>
  <si>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</si>
  <si>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</si>
  <si>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</si>
  <si>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</si>
  <si>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</si>
  <si>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</si>
  <si>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</si>
  <si>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</si>
  <si>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</si>
  <si>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</si>
  <si>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</si>
  <si>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</si>
  <si>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</si>
  <si>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</si>
  <si>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</si>
  <si>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</si>
  <si>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</si>
  <si>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</si>
  <si>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</si>
  <si>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</si>
  <si>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</si>
  <si>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</si>
  <si>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</si>
  <si>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</si>
  <si>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</si>
  <si>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</si>
  <si>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</si>
  <si>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</si>
  <si>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</si>
  <si>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</si>
  <si>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</si>
  <si>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</si>
  <si>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</si>
  <si>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</si>
  <si>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</si>
  <si>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</si>
  <si>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</si>
  <si>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</si>
  <si>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</si>
  <si>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</si>
  <si>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</si>
  <si>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</si>
  <si>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</si>
  <si>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</si>
  <si>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</si>
  <si>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</si>
  <si>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</si>
  <si>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</si>
  <si>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</si>
  <si>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</si>
  <si>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</si>
  <si>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</si>
  <si>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</si>
  <si>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</si>
  <si>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</si>
  <si>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</si>
  <si>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</si>
  <si>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</si>
  <si>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</si>
  <si>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</si>
  <si>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</si>
  <si>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</si>
  <si>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</si>
  <si>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</si>
  <si>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</si>
  <si>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</si>
  <si>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</si>
  <si>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</si>
  <si>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</si>
  <si>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</si>
  <si>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</si>
  <si>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</si>
  <si>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</si>
  <si>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</si>
  <si>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</si>
  <si>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</si>
  <si>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</si>
  <si>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</si>
  <si>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</si>
  <si>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</si>
  <si>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</si>
  <si>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</si>
  <si>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</si>
  <si>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</si>
  <si>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</si>
  <si>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</si>
  <si>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</si>
  <si>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</si>
  <si>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</si>
  <si>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</si>
  <si>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</si>
  <si>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</si>
  <si>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</si>
  <si>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</si>
  <si>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</si>
  <si>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</si>
  <si>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</si>
  <si>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</si>
  <si>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</si>
  <si>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</si>
  <si>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</si>
  <si>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</si>
  <si>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</si>
  <si>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</si>
  <si>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</si>
  <si>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</si>
  <si>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</si>
  <si>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</si>
  <si>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</si>
  <si>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</si>
  <si>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</si>
  <si>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</si>
  <si>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</si>
  <si>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</si>
  <si>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</si>
  <si>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</si>
  <si>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</si>
  <si>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</si>
  <si>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</si>
  <si>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</si>
  <si>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</si>
  <si>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</si>
  <si>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</si>
  <si>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</si>
  <si>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</si>
  <si>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</si>
  <si>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</si>
  <si>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</si>
  <si>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</si>
  <si>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</si>
  <si>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</si>
  <si>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</si>
  <si>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</si>
  <si>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</si>
  <si>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</si>
  <si>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</si>
  <si>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</si>
  <si>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</si>
  <si>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</si>
  <si>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</si>
  <si>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</si>
  <si>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</si>
  <si>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</si>
  <si>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</si>
  <si>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</si>
  <si>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</si>
  <si>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</si>
  <si>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</si>
  <si>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</si>
  <si>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</si>
  <si>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</si>
  <si>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</si>
  <si>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</si>
  <si>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</si>
  <si>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</si>
  <si>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</si>
  <si>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</si>
  <si>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</si>
  <si>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</si>
  <si>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</si>
  <si>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</si>
  <si>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</si>
  <si>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</si>
  <si>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</si>
  <si>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</si>
  <si>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</si>
  <si>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</si>
  <si>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</si>
  <si>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</si>
  <si>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</si>
  <si>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</si>
  <si>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</si>
  <si>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</si>
  <si>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</si>
  <si>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</si>
  <si>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</si>
  <si>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</si>
  <si>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</si>
  <si>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</si>
  <si>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</si>
  <si>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</si>
  <si>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</si>
  <si>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</si>
  <si>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</si>
  <si>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</si>
  <si>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</si>
  <si>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</si>
  <si>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</si>
  <si>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</si>
  <si>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</si>
  <si>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</si>
  <si>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</si>
  <si>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</si>
  <si>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</si>
  <si>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</si>
  <si>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</si>
  <si>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</si>
  <si>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</si>
  <si>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</si>
  <si>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</si>
  <si>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</si>
  <si>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</si>
  <si>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</si>
  <si>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</si>
  <si>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</si>
  <si>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</si>
  <si>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</si>
  <si>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</si>
  <si>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</si>
  <si>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</si>
  <si>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</si>
  <si>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</si>
  <si>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</si>
  <si>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</si>
  <si>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</si>
  <si>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</si>
  <si>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</si>
  <si>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</si>
  <si>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</si>
  <si>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</si>
  <si>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</si>
  <si>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</si>
  <si>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</si>
  <si>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</si>
  <si>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</si>
  <si>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</si>
  <si>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</si>
  <si>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</si>
  <si>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</si>
  <si>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</si>
  <si>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</si>
  <si>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</si>
  <si>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</si>
  <si>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</si>
  <si>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</si>
  <si>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</si>
  <si>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</si>
  <si>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</si>
  <si>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</si>
  <si>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</si>
  <si>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</si>
  <si>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</si>
  <si>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</si>
  <si>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</si>
  <si>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</si>
  <si>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</si>
  <si>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</si>
  <si>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</si>
  <si>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</si>
  <si>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</si>
  <si>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</si>
  <si>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</si>
  <si>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</si>
  <si>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</si>
  <si>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</si>
  <si>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</si>
  <si>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</si>
  <si>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</si>
  <si>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</si>
  <si>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</si>
  <si>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</si>
  <si>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</si>
  <si>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</si>
  <si>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</si>
  <si>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</si>
  <si>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</si>
  <si>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</si>
  <si>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</si>
  <si>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</si>
  <si>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</si>
  <si>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</si>
  <si>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</si>
  <si>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</si>
  <si>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</si>
  <si>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</si>
  <si>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</si>
  <si>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</si>
  <si>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</si>
  <si>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</si>
  <si>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</si>
  <si>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</si>
  <si>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</si>
  <si>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</si>
  <si>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</si>
  <si>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</si>
  <si>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</si>
  <si>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</si>
  <si>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</si>
  <si>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</si>
  <si>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</si>
  <si>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</si>
  <si>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</si>
  <si>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</si>
  <si>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</si>
  <si>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</si>
  <si>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</si>
  <si>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</si>
  <si>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</si>
  <si>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</si>
  <si>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</si>
  <si>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</si>
  <si>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</si>
  <si>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</si>
  <si>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</si>
  <si>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</si>
  <si>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</si>
  <si>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</si>
  <si>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</si>
  <si>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</si>
  <si>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</si>
  <si>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</si>
  <si>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</si>
  <si>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</si>
  <si>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</si>
  <si>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</si>
  <si>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</si>
  <si>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</si>
  <si>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</si>
  <si>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</si>
  <si>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</si>
  <si>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</si>
  <si>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</si>
  <si>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</si>
  <si>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</si>
  <si>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</si>
  <si>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</si>
  <si>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</si>
  <si>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</si>
  <si>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</si>
  <si>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</si>
  <si>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</si>
  <si>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</si>
  <si>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</si>
  <si>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</si>
  <si>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</si>
  <si>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</si>
  <si>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</si>
  <si>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</si>
  <si>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</si>
  <si>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</si>
  <si>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</si>
  <si>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</si>
  <si>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</si>
  <si>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</si>
  <si>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</si>
  <si>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</si>
  <si>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</si>
  <si>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</si>
  <si>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</si>
  <si>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</si>
  <si>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</si>
  <si>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</si>
  <si>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</si>
  <si>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</si>
  <si>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</si>
  <si>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</si>
  <si>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</si>
  <si>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</si>
  <si>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</si>
  <si>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</si>
  <si>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</si>
  <si>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</si>
  <si>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</si>
  <si>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</si>
  <si>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</si>
  <si>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</si>
  <si>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</si>
  <si>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</si>
  <si>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</si>
  <si>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</si>
  <si>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</si>
  <si>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</si>
  <si>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</si>
  <si>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</si>
  <si>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</si>
  <si>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</si>
  <si>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</si>
  <si>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</si>
  <si>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</si>
  <si>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</si>
  <si>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</si>
  <si>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</si>
  <si>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</si>
  <si>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</si>
  <si>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</si>
  <si>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</si>
  <si>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</si>
  <si>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</si>
  <si>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</si>
  <si>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</si>
  <si>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</si>
  <si>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</si>
  <si>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</si>
  <si>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</si>
  <si>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</si>
  <si>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</si>
  <si>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</si>
  <si>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</si>
  <si>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</si>
  <si>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</si>
  <si>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</si>
  <si>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</si>
  <si>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</si>
  <si>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</si>
  <si>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</si>
  <si>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</si>
  <si>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</si>
  <si>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</si>
  <si>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</si>
  <si>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</si>
  <si>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</si>
  <si>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</si>
  <si>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</si>
  <si>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</si>
  <si>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</si>
  <si>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</si>
  <si>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</si>
  <si>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</si>
  <si>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</si>
  <si>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</si>
  <si>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</si>
  <si>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</si>
  <si>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</si>
  <si>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</si>
  <si>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</si>
  <si>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</si>
  <si>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</si>
  <si>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</si>
  <si>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</si>
  <si>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</si>
  <si>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</si>
  <si>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</si>
  <si>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</si>
  <si>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</si>
  <si>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</si>
  <si>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</si>
  <si>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</si>
  <si>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</si>
  <si>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</si>
  <si>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</si>
  <si>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</si>
  <si>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</si>
  <si>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</si>
  <si>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</si>
  <si>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</si>
  <si>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</si>
  <si>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</si>
  <si>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</si>
  <si>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</si>
  <si>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</si>
  <si>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</si>
  <si>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</si>
  <si>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</si>
  <si>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</si>
  <si>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</si>
  <si>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</si>
  <si>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</si>
  <si>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</si>
  <si>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</si>
  <si>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</si>
  <si>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</si>
  <si>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</si>
  <si>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</si>
  <si>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</si>
  <si>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</si>
  <si>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</si>
  <si>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</si>
  <si>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</si>
  <si>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</si>
  <si>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</si>
  <si>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</si>
  <si>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</si>
  <si>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</si>
  <si>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</si>
  <si>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</si>
  <si>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</si>
  <si>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</si>
  <si>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</si>
  <si>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</si>
  <si>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</si>
  <si>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</si>
  <si>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</si>
  <si>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</si>
  <si>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</si>
  <si>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</si>
  <si>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</si>
  <si>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</si>
  <si>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</si>
  <si>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</si>
  <si>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</si>
  <si>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</si>
  <si>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</si>
  <si>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</si>
  <si>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</si>
  <si>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</si>
  <si>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</si>
  <si>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</si>
  <si>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</si>
  <si>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</si>
  <si>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</si>
  <si>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</si>
  <si>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</si>
  <si>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</si>
  <si>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</si>
  <si>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</si>
  <si>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</si>
  <si>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</si>
  <si>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</si>
  <si>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</si>
  <si>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</si>
  <si>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</si>
  <si>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</si>
  <si>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</si>
  <si>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</si>
  <si>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</si>
  <si>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</si>
  <si>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</si>
  <si>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</si>
  <si>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</si>
  <si>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</si>
  <si>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</si>
  <si>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</si>
  <si>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</si>
  <si>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</si>
  <si>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</si>
  <si>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</si>
  <si>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</si>
  <si>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</si>
  <si>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</si>
  <si>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</si>
  <si>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</si>
  <si>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</si>
  <si>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</si>
  <si>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</si>
  <si>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</si>
  <si>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</si>
  <si>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</si>
  <si>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</si>
  <si>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</si>
  <si>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</si>
  <si>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</si>
  <si>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</si>
  <si>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</si>
  <si>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</si>
  <si>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</si>
  <si>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</si>
  <si>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</si>
  <si>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</si>
  <si>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</si>
  <si>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</si>
  <si>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</si>
  <si>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</si>
  <si>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</si>
  <si>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</si>
  <si>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</si>
  <si>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</si>
  <si>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</si>
  <si>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</si>
  <si>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</si>
  <si>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</si>
  <si>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</si>
  <si>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</si>
  <si>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</si>
  <si>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</si>
  <si>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</si>
  <si>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</si>
  <si>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</si>
  <si>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</si>
  <si>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</si>
  <si>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</si>
  <si>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</si>
  <si>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</si>
  <si>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</si>
  <si>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</si>
  <si>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</si>
  <si>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</si>
  <si>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</si>
  <si>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</si>
  <si>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</si>
  <si>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</si>
  <si>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</si>
  <si>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</si>
  <si>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</si>
  <si>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</si>
  <si>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</si>
  <si>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</si>
  <si>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</si>
  <si>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</si>
  <si>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</si>
  <si>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</si>
  <si>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</si>
  <si>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</si>
  <si>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</si>
  <si>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</si>
  <si>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</si>
  <si>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</si>
  <si>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</si>
  <si>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</si>
  <si>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</si>
  <si>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</si>
  <si>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</si>
  <si>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</si>
  <si>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</si>
  <si>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</si>
  <si>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</si>
  <si>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</si>
  <si>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</si>
  <si>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</si>
  <si>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</si>
  <si>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</si>
  <si>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</si>
  <si>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</si>
  <si>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</si>
  <si>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</si>
  <si>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</si>
  <si>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</si>
  <si>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</si>
  <si>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</si>
  <si>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</si>
  <si>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</si>
  <si>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</si>
  <si>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</si>
  <si>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</si>
  <si>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</si>
  <si>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</si>
  <si>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</si>
  <si>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</si>
  <si>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</si>
  <si>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</si>
  <si>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</si>
  <si>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</si>
  <si>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</si>
  <si>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</si>
  <si>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</si>
  <si>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</si>
  <si>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</si>
  <si>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</si>
  <si>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</si>
  <si>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</si>
  <si>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</si>
  <si>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</si>
  <si>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</si>
  <si>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</si>
  <si>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</si>
  <si>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</si>
  <si>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</si>
  <si>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</si>
  <si>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</si>
  <si>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</si>
  <si>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</si>
  <si>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</si>
  <si>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</si>
  <si>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</si>
  <si>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</si>
  <si>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</si>
  <si>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</si>
  <si>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</si>
  <si>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</si>
  <si>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</si>
  <si>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</si>
  <si>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</si>
  <si>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</si>
  <si>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</si>
  <si>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</si>
  <si>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</si>
  <si>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</si>
  <si>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</si>
  <si>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</si>
  <si>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</si>
  <si>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</si>
  <si>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</si>
  <si>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</si>
  <si>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</si>
  <si>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</si>
  <si>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</si>
  <si>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</si>
  <si>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</si>
  <si>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</si>
  <si>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</si>
  <si>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</si>
  <si>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</si>
  <si>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</si>
  <si>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</si>
  <si>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</si>
  <si>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</si>
  <si>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</si>
  <si>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</si>
  <si>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</si>
  <si>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</si>
  <si>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</si>
  <si>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</si>
  <si>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</si>
  <si>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</si>
  <si>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</si>
  <si>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</si>
  <si>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</si>
  <si>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</si>
  <si>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</si>
  <si>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</si>
  <si>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</si>
  <si>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</si>
  <si>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</si>
  <si>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</si>
  <si>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</si>
  <si>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</si>
  <si>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</si>
  <si>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</si>
  <si>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</si>
  <si>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</si>
  <si>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</si>
  <si>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</si>
  <si>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</si>
  <si>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</si>
  <si>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</si>
  <si>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</si>
  <si>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</si>
  <si>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</si>
  <si>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</si>
  <si>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</si>
  <si>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</si>
  <si>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</si>
  <si>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</si>
  <si>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</si>
  <si>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</si>
  <si>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</si>
  <si>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</si>
  <si>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</si>
  <si>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</si>
  <si>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</si>
  <si>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</si>
  <si>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</si>
  <si>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</si>
  <si>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</si>
  <si>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</si>
  <si>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</si>
  <si>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</si>
  <si>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</si>
  <si>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</si>
  <si>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</si>
  <si>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</si>
  <si>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</si>
  <si>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</si>
  <si>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</si>
  <si>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</si>
  <si>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</si>
  <si>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</si>
  <si>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</si>
  <si>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</si>
  <si>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</si>
  <si>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</si>
  <si>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</si>
  <si>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</si>
  <si>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</si>
  <si>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</si>
  <si>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</si>
  <si>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</si>
  <si>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</si>
  <si>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</si>
  <si>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</si>
  <si>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</si>
  <si>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</si>
  <si>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</si>
  <si>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</si>
  <si>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</si>
  <si>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</si>
  <si>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</si>
  <si>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</si>
  <si>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</si>
  <si>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</si>
  <si>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</si>
  <si>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</si>
  <si>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</si>
  <si>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</si>
  <si>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</si>
  <si>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</si>
  <si>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</si>
  <si>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</si>
  <si>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</si>
  <si>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</si>
  <si>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</si>
  <si>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</si>
  <si>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</si>
  <si>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</si>
  <si>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</si>
  <si>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</si>
  <si>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</si>
  <si>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</si>
  <si>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</si>
  <si>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</si>
  <si>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</si>
  <si>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</si>
  <si>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</si>
  <si>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</si>
  <si>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</si>
  <si>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</si>
  <si>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</si>
  <si>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</si>
  <si>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</si>
  <si>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</si>
  <si>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</si>
  <si>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</si>
  <si>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</si>
  <si>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</si>
  <si>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</si>
  <si>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</si>
  <si>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</si>
  <si>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</si>
  <si>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</si>
  <si>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</si>
  <si>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</si>
  <si>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</si>
  <si>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</si>
  <si>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</si>
  <si>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</si>
  <si>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</si>
  <si>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</si>
  <si>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</si>
  <si>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</si>
  <si>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</si>
  <si>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</si>
  <si>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</si>
  <si>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</si>
  <si>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</si>
  <si>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</si>
  <si>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</si>
  <si>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</si>
  <si>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</si>
  <si>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</si>
  <si>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</si>
  <si>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</si>
  <si>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</si>
  <si>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</si>
  <si>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</si>
  <si>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</si>
  <si>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</si>
  <si>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</si>
  <si>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</si>
  <si>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</si>
  <si>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</si>
  <si>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</si>
  <si>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</si>
  <si>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</si>
  <si>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</si>
  <si>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</si>
  <si>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</si>
  <si>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</si>
  <si>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</si>
  <si>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</si>
  <si>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</si>
  <si>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</si>
  <si>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</si>
  <si>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</si>
  <si>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</si>
  <si>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</si>
  <si>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</si>
  <si>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</si>
  <si>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</si>
  <si>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</si>
  <si>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</si>
  <si>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</si>
  <si>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</si>
  <si>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</si>
  <si>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</si>
  <si>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</si>
  <si>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</si>
  <si>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</si>
  <si>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</si>
  <si>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</si>
  <si>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</si>
  <si>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</si>
  <si>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</si>
  <si>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</si>
  <si>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</si>
  <si>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</si>
  <si>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</si>
  <si>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</si>
  <si>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</si>
  <si>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</si>
  <si>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</si>
  <si>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</si>
  <si>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</si>
  <si>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</si>
  <si>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</si>
  <si>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</si>
  <si>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</si>
  <si>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</si>
  <si>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</si>
  <si>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</si>
  <si>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</si>
  <si>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</si>
  <si>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</si>
  <si>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</si>
  <si>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</si>
  <si>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</si>
  <si>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</si>
  <si>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</si>
  <si>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</si>
  <si>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</si>
  <si>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</si>
  <si>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</si>
  <si>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</si>
  <si>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</si>
  <si>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</si>
  <si>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</si>
  <si>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</si>
  <si>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</si>
  <si>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</si>
  <si>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</si>
  <si>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</si>
  <si>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</si>
  <si>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</si>
  <si>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</si>
  <si>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</si>
  <si>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</si>
  <si>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</si>
  <si>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</si>
  <si>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</si>
  <si>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</si>
  <si>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</si>
  <si>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</si>
  <si>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</si>
  <si>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</si>
  <si>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</si>
  <si>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</si>
  <si>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</si>
  <si>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</si>
  <si>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</si>
  <si>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</si>
  <si>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</si>
  <si>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</si>
  <si>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</si>
  <si>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</si>
  <si>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</si>
  <si>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</si>
  <si>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</si>
  <si>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</si>
  <si>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</si>
  <si>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</si>
  <si>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</si>
  <si>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</si>
  <si>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</si>
  <si>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</si>
  <si>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</si>
  <si>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</si>
  <si>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</si>
  <si>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</si>
  <si>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</si>
  <si>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</si>
  <si>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</si>
  <si>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</si>
  <si>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</si>
  <si>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</si>
  <si>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</si>
  <si>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</si>
  <si>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</si>
  <si>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</si>
  <si>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</si>
  <si>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</si>
  <si>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</si>
  <si>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</si>
  <si>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</si>
  <si>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</si>
  <si>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</si>
  <si>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</si>
  <si>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</si>
  <si>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</si>
  <si>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</si>
  <si>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</si>
  <si>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</si>
  <si>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</si>
  <si>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</si>
  <si>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</si>
  <si>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</si>
  <si>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</si>
  <si>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</si>
  <si>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</si>
  <si>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</si>
  <si>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</si>
  <si>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</si>
  <si>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</si>
  <si>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</si>
  <si>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</si>
  <si>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</si>
  <si>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</si>
  <si>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</si>
  <si>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</si>
  <si>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</si>
  <si>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</si>
  <si>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</si>
  <si>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</si>
  <si>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</si>
  <si>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</si>
  <si>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</si>
  <si>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</si>
  <si>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</si>
  <si>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</si>
  <si>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</si>
  <si>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</si>
  <si>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</si>
  <si>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</si>
  <si>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</si>
  <si>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</si>
  <si>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</si>
  <si>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</si>
  <si>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</si>
  <si>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</si>
  <si>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</si>
  <si>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</si>
  <si>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</si>
  <si>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</si>
  <si>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</si>
  <si>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</si>
  <si>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</si>
  <si>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</si>
  <si>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</si>
  <si>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</si>
  <si>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</si>
  <si>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</si>
  <si>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</si>
  <si>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</si>
  <si>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</si>
  <si>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</si>
  <si>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</si>
  <si>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</si>
  <si>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</si>
  <si>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</si>
  <si>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</si>
  <si>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</si>
  <si>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</si>
  <si>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</si>
  <si>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</si>
  <si>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</si>
  <si>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</si>
  <si>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</si>
  <si>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</si>
  <si>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</si>
  <si>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</si>
  <si>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</si>
  <si>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</si>
  <si>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</si>
  <si>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</si>
  <si>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</si>
  <si>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</si>
  <si>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</si>
  <si>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</si>
  <si>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</si>
  <si>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</si>
  <si>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</si>
  <si>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</si>
  <si>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</si>
  <si>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</si>
  <si>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</si>
  <si>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</si>
  <si>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</si>
  <si>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</si>
  <si>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</si>
  <si>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</si>
  <si>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</si>
  <si>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</si>
  <si>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</si>
  <si>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</si>
  <si>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</si>
  <si>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</si>
  <si>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</si>
  <si>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</si>
  <si>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</si>
  <si>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</si>
  <si>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</si>
  <si>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</si>
  <si>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</si>
  <si>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</si>
  <si>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</si>
  <si>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</si>
  <si>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</si>
  <si>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</si>
  <si>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</si>
  <si>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</si>
  <si>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</si>
  <si>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</si>
  <si>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</si>
  <si>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</si>
  <si>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</si>
  <si>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</si>
  <si>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</si>
  <si>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</si>
  <si>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</si>
  <si>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</si>
  <si>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</si>
  <si>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</si>
  <si>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</si>
  <si>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</si>
  <si>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</si>
  <si>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</si>
  <si>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</si>
  <si>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</si>
  <si>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</si>
  <si>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</si>
  <si>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</si>
  <si>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</si>
  <si>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</si>
  <si>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</si>
  <si>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</si>
  <si>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</si>
  <si>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</si>
  <si>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</si>
  <si>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</si>
  <si>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</si>
  <si>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</si>
  <si>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</si>
  <si>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</si>
  <si>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</si>
  <si>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</si>
  <si>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</si>
  <si>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</si>
  <si>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</si>
  <si>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</si>
  <si>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</si>
  <si>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</si>
  <si>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</si>
  <si>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</si>
  <si>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</si>
  <si>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</si>
  <si>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</si>
  <si>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</si>
  <si>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</si>
  <si>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</si>
  <si>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</si>
  <si>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</si>
  <si>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</si>
  <si>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</si>
  <si>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</si>
  <si>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</si>
  <si>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</si>
  <si>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</si>
  <si>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</si>
  <si>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</si>
  <si>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</si>
  <si>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</si>
  <si>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</si>
  <si>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</si>
  <si>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</si>
  <si>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</si>
  <si>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</si>
  <si>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</si>
  <si>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</si>
  <si>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</si>
  <si>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</si>
  <si>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</si>
  <si>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</si>
  <si>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</si>
  <si>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</si>
  <si>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</si>
  <si>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</si>
  <si>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</si>
  <si>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</si>
  <si>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</si>
  <si>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</si>
  <si>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</si>
  <si>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</si>
  <si>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</si>
  <si>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</si>
  <si>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</si>
  <si>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</si>
  <si>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</si>
  <si>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</si>
  <si>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</si>
  <si>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</si>
  <si>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</si>
  <si>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</si>
  <si>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</si>
  <si>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</si>
  <si>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</si>
  <si>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</si>
  <si>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</si>
  <si>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</si>
  <si>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</si>
  <si>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</si>
  <si>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</si>
  <si>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</si>
  <si>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</si>
  <si>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</si>
  <si>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</si>
  <si>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</si>
  <si>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</si>
  <si>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</si>
  <si>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</si>
  <si>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</si>
  <si>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</si>
  <si>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</si>
  <si>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</si>
  <si>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</si>
  <si>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</si>
  <si>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</si>
  <si>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</si>
  <si>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</si>
  <si>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</si>
  <si>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</si>
  <si>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</si>
  <si>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</si>
  <si>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</si>
  <si>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</si>
  <si>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</si>
  <si>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</si>
  <si>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</si>
  <si>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</si>
  <si>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</si>
  <si>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</si>
  <si>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</si>
  <si>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</si>
  <si>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</si>
  <si>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</si>
  <si>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</si>
  <si>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</si>
  <si>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</si>
  <si>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</si>
  <si>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</si>
  <si>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</si>
  <si>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</si>
  <si>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</si>
  <si>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</si>
  <si>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</si>
  <si>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</si>
  <si>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</si>
  <si>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</si>
  <si>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</si>
  <si>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</si>
  <si>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</si>
  <si>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</si>
  <si>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</si>
  <si>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</si>
  <si>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</si>
  <si>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</si>
  <si>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</si>
  <si>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</si>
  <si>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</si>
  <si>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</si>
  <si>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</si>
  <si>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</si>
  <si>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</si>
  <si>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</si>
  <si>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</si>
  <si>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</si>
  <si>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</si>
  <si>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</si>
  <si>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</si>
  <si>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</si>
  <si>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</si>
  <si>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</si>
  <si>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</si>
  <si>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</si>
  <si>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</si>
  <si>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</si>
  <si>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</si>
  <si>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</si>
  <si>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</si>
  <si>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</si>
  <si>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</si>
  <si>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</si>
  <si>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</si>
  <si>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</si>
  <si>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</si>
  <si>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</si>
  <si>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</si>
  <si>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</si>
  <si>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</si>
  <si>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</si>
  <si>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</si>
  <si>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</si>
  <si>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</si>
  <si>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</si>
  <si>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</si>
  <si>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</si>
  <si>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</si>
  <si>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</si>
  <si>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</si>
  <si>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</si>
  <si>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</si>
  <si>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</si>
  <si>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</si>
  <si>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</si>
  <si>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</si>
  <si>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</si>
  <si>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</si>
  <si>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</si>
  <si>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</si>
  <si>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</si>
  <si>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</si>
  <si>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</si>
  <si>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</si>
  <si>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</si>
  <si>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</si>
  <si>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</si>
  <si>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</si>
  <si>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</si>
  <si>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</si>
  <si>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</si>
  <si>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</si>
  <si>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</si>
  <si>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</si>
  <si>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</si>
  <si>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</si>
  <si>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</si>
  <si>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</si>
  <si>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</si>
  <si>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</si>
  <si>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</si>
  <si>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</si>
  <si>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</si>
  <si>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</si>
  <si>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</si>
  <si>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</si>
  <si>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</si>
  <si>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</si>
  <si>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</si>
  <si>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</si>
  <si>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</si>
  <si>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</si>
  <si>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</si>
  <si>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</si>
  <si>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</si>
  <si>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</si>
  <si>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</si>
  <si>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</si>
  <si>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</si>
  <si>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</si>
  <si>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</si>
  <si>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</si>
  <si>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</si>
  <si>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</si>
  <si>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</si>
  <si>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</si>
  <si>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</si>
  <si>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</si>
  <si>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</si>
  <si>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</si>
  <si>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</si>
  <si>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</si>
  <si>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</si>
  <si>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</si>
  <si>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</si>
  <si>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</si>
  <si>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</si>
  <si>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</si>
  <si>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</si>
  <si>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</si>
  <si>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</si>
  <si>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</si>
  <si>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</si>
  <si>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</si>
  <si>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</si>
  <si>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</si>
  <si>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</si>
  <si>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</si>
  <si>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</si>
  <si>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</si>
  <si>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</si>
  <si>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</si>
  <si>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</si>
  <si>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</si>
  <si>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</si>
  <si>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</si>
  <si>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</si>
  <si>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</si>
  <si>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</si>
  <si>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</si>
  <si>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</si>
  <si>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</si>
  <si>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</si>
  <si>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</si>
  <si>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</si>
  <si>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</si>
  <si>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</si>
  <si>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</si>
  <si>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</si>
  <si>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</si>
  <si>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</si>
  <si>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</si>
  <si>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</si>
  <si>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</si>
  <si>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</si>
  <si>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</si>
  <si>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</si>
  <si>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</si>
  <si>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</si>
  <si>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</si>
  <si>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</si>
  <si>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</si>
  <si>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</si>
  <si>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</si>
  <si>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</si>
  <si>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</si>
  <si>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</si>
  <si>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</si>
  <si>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</si>
  <si>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</si>
  <si>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</si>
  <si>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</si>
  <si>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</si>
  <si>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</si>
  <si>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</si>
  <si>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</si>
  <si>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</si>
  <si>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</si>
  <si>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</si>
  <si>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</si>
  <si>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</si>
  <si>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</si>
  <si>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</si>
  <si>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</si>
  <si>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</si>
  <si>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</si>
  <si>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</si>
  <si>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</si>
  <si>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</si>
  <si>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</si>
  <si>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</si>
  <si>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</si>
  <si>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</si>
  <si>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</si>
  <si>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</si>
  <si>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</si>
  <si>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</si>
  <si>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</si>
  <si>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</si>
  <si>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</si>
  <si>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</si>
  <si>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</si>
  <si>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</si>
  <si>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</si>
  <si>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</si>
  <si>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</si>
  <si>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</si>
  <si>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</si>
  <si>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</si>
  <si>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</si>
  <si>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</si>
  <si>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</si>
  <si>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</si>
  <si>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</si>
  <si>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</si>
  <si>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</si>
  <si>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</si>
  <si>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</si>
  <si>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</si>
  <si>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</si>
  <si>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</si>
  <si>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</si>
  <si>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</si>
  <si>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</si>
  <si>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</si>
  <si>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</si>
  <si>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</si>
  <si>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</si>
  <si>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</si>
  <si>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</si>
  <si>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</si>
  <si>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</si>
  <si>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</si>
  <si>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</si>
  <si>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</si>
  <si>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</si>
  <si>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</si>
  <si>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</si>
  <si>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</si>
  <si>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</si>
  <si>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</si>
  <si>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</si>
  <si>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</si>
  <si>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</si>
  <si>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</si>
  <si>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</si>
  <si>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</si>
  <si>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</si>
  <si>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</si>
  <si>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</si>
  <si>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</si>
  <si>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</si>
  <si>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</si>
  <si>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</si>
  <si>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</si>
  <si>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</si>
  <si>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</si>
  <si>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</si>
  <si>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</si>
  <si>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</si>
  <si>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</si>
  <si>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</si>
  <si>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</si>
  <si>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</si>
  <si>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</si>
  <si>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</si>
  <si>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</si>
  <si>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</si>
  <si>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</si>
  <si>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</si>
  <si>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</si>
  <si>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</si>
  <si>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</si>
  <si>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</si>
  <si>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</si>
  <si>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</si>
  <si>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</si>
  <si>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</si>
  <si>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</si>
  <si>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</si>
  <si>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</si>
  <si>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</si>
  <si>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</si>
  <si>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</si>
  <si>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</si>
  <si>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</si>
  <si>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</si>
  <si>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</si>
  <si>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</si>
  <si>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</si>
  <si>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</si>
  <si>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</si>
  <si>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</si>
  <si>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</si>
  <si>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</si>
  <si>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</si>
  <si>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</si>
  <si>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</si>
  <si>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</si>
  <si>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</si>
  <si>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</si>
  <si>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</si>
  <si>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</si>
  <si>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</si>
  <si>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</si>
  <si>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</si>
  <si>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</si>
  <si>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</si>
  <si>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</si>
  <si>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</si>
  <si>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</si>
  <si>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</si>
  <si>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</si>
  <si>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</si>
  <si>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</si>
  <si>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</si>
  <si>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</si>
  <si>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</si>
  <si>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</si>
  <si>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</si>
  <si>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</si>
  <si>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</si>
  <si>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</si>
  <si>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</si>
  <si>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</si>
  <si>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</si>
  <si>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</si>
  <si>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</si>
  <si>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</si>
  <si>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</si>
  <si>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</si>
  <si>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</si>
  <si>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</si>
  <si>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</si>
  <si>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</si>
  <si>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</si>
  <si>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</si>
  <si>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</si>
  <si>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</si>
  <si>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</si>
  <si>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</si>
  <si>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</si>
  <si>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</si>
  <si>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</si>
  <si>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</si>
  <si>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</si>
  <si>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</si>
  <si>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</si>
  <si>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</si>
  <si>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</si>
  <si>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</si>
  <si>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</si>
  <si>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</si>
  <si>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</si>
  <si>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</si>
  <si>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</si>
  <si>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</si>
  <si>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</si>
  <si>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</si>
  <si>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</si>
  <si>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</si>
  <si>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</si>
  <si>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</si>
  <si>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</si>
  <si>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</si>
  <si>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</si>
  <si>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</si>
  <si>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</si>
  <si>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</si>
  <si>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</si>
  <si>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</si>
  <si>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</si>
  <si>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</si>
  <si>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</si>
  <si>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</si>
  <si>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</si>
  <si>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</si>
  <si>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</si>
  <si>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</si>
  <si>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</si>
  <si>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</si>
  <si>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</si>
  <si>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</si>
  <si>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</si>
  <si>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</si>
  <si>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</si>
  <si>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</si>
  <si>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</si>
  <si>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</si>
  <si>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</si>
  <si>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</si>
  <si>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</si>
  <si>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</si>
  <si>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</si>
  <si>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</si>
  <si>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</si>
  <si>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</si>
  <si>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</si>
  <si>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</si>
  <si>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</si>
  <si>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</si>
  <si>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</si>
  <si>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</si>
  <si>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</si>
  <si>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</si>
  <si>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</si>
  <si>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</si>
  <si>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</si>
  <si>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</si>
  <si>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</si>
  <si>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</si>
  <si>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</si>
  <si>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</si>
  <si>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</si>
  <si>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</si>
  <si>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</si>
  <si>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</si>
  <si>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</si>
  <si>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</si>
  <si>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</si>
  <si>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</si>
  <si>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</si>
  <si>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</si>
  <si>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</si>
  <si>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</si>
  <si>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</si>
  <si>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</si>
  <si>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</si>
  <si>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</si>
  <si>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</si>
  <si>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</si>
  <si>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</si>
  <si>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</si>
  <si>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</si>
  <si>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</si>
  <si>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</si>
  <si>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</si>
  <si>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</si>
  <si>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</si>
  <si>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</si>
  <si>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</si>
  <si>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</si>
  <si>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</si>
  <si>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</si>
  <si>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</si>
  <si>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</si>
  <si>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</si>
  <si>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</si>
  <si>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</si>
  <si>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</si>
  <si>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</si>
  <si>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</si>
  <si>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</si>
  <si>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</si>
  <si>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</si>
  <si>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</si>
  <si>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</si>
  <si>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</si>
  <si>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</si>
  <si>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</si>
  <si>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</si>
  <si>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</si>
  <si>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</si>
  <si>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</si>
  <si>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</si>
  <si>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</si>
  <si>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</si>
  <si>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</si>
  <si>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</si>
  <si>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</si>
  <si>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</si>
  <si>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</si>
  <si>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</si>
  <si>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</si>
  <si>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</si>
  <si>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</si>
  <si>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</si>
  <si>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</si>
  <si>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</si>
  <si>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</si>
  <si>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</si>
  <si>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</si>
  <si>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</si>
  <si>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</si>
  <si>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</si>
  <si>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</si>
  <si>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</si>
  <si>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</si>
  <si>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</si>
  <si>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</si>
  <si>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</si>
  <si>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</si>
  <si>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</si>
  <si>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</si>
  <si>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</si>
  <si>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</si>
  <si>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</si>
  <si>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</si>
  <si>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</si>
  <si>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</si>
  <si>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</si>
  <si>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</si>
  <si>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</si>
  <si>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</si>
  <si>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</si>
  <si>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</si>
  <si>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</si>
  <si>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</si>
  <si>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</si>
  <si>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</si>
  <si>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</si>
  <si>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</si>
  <si>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</si>
  <si>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</si>
  <si>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</si>
  <si>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</si>
  <si>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</si>
  <si>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</si>
  <si>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</si>
  <si>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</si>
  <si>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</si>
  <si>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</si>
  <si>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</si>
  <si>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</si>
  <si>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</si>
  <si>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</si>
  <si>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</si>
  <si>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</si>
  <si>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</si>
  <si>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</si>
  <si>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</si>
  <si>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</si>
  <si>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</si>
  <si>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</si>
  <si>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</si>
  <si>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</si>
  <si>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</si>
  <si>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</si>
  <si>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</si>
  <si>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</si>
  <si>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</si>
  <si>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</si>
  <si>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</si>
  <si>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</si>
  <si>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</si>
  <si>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</si>
  <si>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</si>
  <si>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</si>
  <si>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</si>
  <si>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</si>
  <si>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</si>
  <si>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</si>
  <si>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</si>
  <si>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</si>
  <si>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</si>
  <si>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</si>
  <si>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</si>
  <si>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</si>
  <si>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</si>
  <si>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</si>
  <si>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</si>
  <si>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</si>
  <si>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</si>
  <si>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</si>
  <si>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</si>
  <si>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</si>
  <si>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</si>
  <si>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</si>
  <si>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</si>
  <si>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</si>
  <si>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</si>
  <si>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</si>
  <si>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</si>
  <si>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</si>
  <si>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</si>
  <si>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</si>
  <si>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</si>
  <si>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</si>
  <si>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</si>
  <si>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</si>
  <si>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</si>
  <si>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</si>
  <si>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</si>
  <si>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</si>
  <si>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</si>
  <si>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</si>
  <si>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</si>
  <si>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</si>
  <si>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</si>
  <si>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</si>
  <si>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</si>
  <si>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</si>
  <si>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</si>
  <si>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</si>
  <si>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</si>
  <si>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</si>
  <si>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</si>
  <si>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</si>
  <si>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</si>
  <si>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</si>
  <si>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</si>
  <si>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</si>
  <si>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</si>
  <si>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</si>
  <si>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</si>
  <si>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</si>
  <si>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</si>
  <si>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</si>
  <si>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</si>
  <si>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</si>
  <si>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</si>
  <si>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</si>
  <si>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</si>
  <si>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</si>
  <si>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</si>
  <si>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</si>
  <si>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</si>
  <si>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</si>
  <si>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</si>
  <si>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</si>
  <si>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</si>
  <si>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</si>
  <si>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</si>
  <si>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</si>
  <si>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</si>
  <si>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</si>
  <si>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</si>
  <si>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</si>
  <si>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</si>
  <si>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</si>
  <si>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</si>
  <si>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</si>
  <si>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</si>
  <si>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</si>
  <si>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</si>
  <si>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</si>
  <si>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</si>
  <si>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</si>
  <si>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</si>
  <si>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</si>
  <si>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</si>
  <si>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</si>
  <si>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</si>
  <si>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</si>
  <si>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</si>
  <si>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</si>
  <si>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</si>
  <si>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</si>
  <si>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</si>
  <si>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</si>
  <si>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</si>
  <si>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</si>
  <si>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</si>
  <si>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</si>
  <si>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</si>
  <si>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</si>
  <si>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</si>
  <si>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</si>
  <si>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</si>
  <si>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</si>
  <si>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</si>
  <si>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</si>
  <si>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</si>
  <si>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</si>
  <si>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</si>
  <si>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</si>
  <si>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</si>
  <si>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</si>
  <si>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</si>
  <si>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</si>
  <si>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</si>
  <si>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</si>
  <si>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</si>
  <si>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</si>
  <si>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</si>
  <si>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</si>
  <si>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</si>
  <si>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</si>
  <si>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</si>
  <si>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</si>
  <si>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</si>
  <si>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</si>
  <si>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</si>
  <si>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</si>
  <si>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</si>
  <si>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</si>
  <si>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</si>
  <si>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</si>
  <si>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</si>
  <si>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</si>
  <si>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</si>
  <si>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</si>
  <si>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</si>
  <si>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</si>
  <si>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</si>
  <si>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</si>
  <si>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</si>
  <si>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</si>
  <si>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</si>
  <si>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</si>
  <si>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</si>
  <si>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</si>
  <si>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</si>
  <si>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</si>
  <si>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</si>
  <si>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</si>
  <si>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</si>
  <si>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</si>
  <si>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</si>
  <si>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</si>
  <si>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</si>
  <si>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</si>
  <si>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</si>
  <si>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</si>
  <si>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</si>
  <si>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</si>
  <si>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</si>
  <si>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</si>
  <si>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</si>
  <si>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</si>
  <si>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</si>
  <si>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</si>
  <si>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</si>
  <si>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</si>
  <si>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</si>
  <si>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</si>
  <si>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</si>
  <si>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</si>
  <si>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</si>
  <si>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</si>
  <si>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</si>
  <si>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</si>
  <si>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</si>
  <si>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</si>
  <si>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</si>
  <si>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</si>
  <si>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</si>
  <si>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</si>
  <si>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</si>
  <si>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</si>
  <si>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</si>
  <si>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</si>
  <si>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</si>
  <si>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</si>
  <si>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</si>
  <si>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</si>
  <si>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</si>
  <si>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</si>
  <si>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</si>
  <si>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</si>
  <si>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</si>
  <si>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</si>
  <si>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</si>
  <si>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</si>
  <si>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</si>
  <si>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</si>
  <si>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</si>
  <si>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</si>
  <si>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</si>
  <si>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</si>
  <si>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</si>
  <si>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</si>
  <si>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</si>
  <si>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</si>
  <si>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</si>
  <si>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</si>
  <si>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</si>
  <si>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</si>
  <si>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</si>
  <si>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</si>
  <si>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</si>
  <si>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</si>
  <si>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</si>
  <si>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</si>
  <si>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</si>
  <si>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</si>
  <si>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</si>
  <si>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</si>
  <si>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</si>
  <si>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</si>
  <si>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</si>
  <si>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</si>
  <si>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</si>
  <si>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</si>
  <si>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</si>
  <si>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</si>
  <si>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</si>
  <si>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</si>
  <si>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</si>
  <si>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</si>
  <si>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</si>
  <si>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</si>
  <si>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</si>
  <si>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</si>
  <si>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</si>
  <si>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</si>
  <si>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</si>
  <si>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</si>
  <si>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</si>
  <si>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</si>
  <si>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</si>
  <si>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</si>
  <si>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</si>
  <si>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</si>
  <si>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</si>
  <si>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</si>
  <si>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</si>
  <si>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</si>
  <si>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</si>
  <si>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</si>
  <si>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</si>
  <si>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</si>
  <si>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</si>
  <si>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</si>
  <si>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</si>
  <si>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</si>
  <si>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</si>
  <si>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</si>
  <si>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</si>
  <si>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</si>
  <si>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</si>
  <si>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</si>
  <si>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</si>
  <si>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</si>
  <si>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</si>
  <si>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</si>
  <si>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</si>
  <si>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</si>
  <si>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</si>
  <si>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</si>
  <si>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</si>
  <si>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</si>
  <si>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</si>
  <si>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</si>
  <si>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</si>
  <si>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</si>
  <si>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</si>
  <si>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</si>
  <si>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</si>
  <si>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</si>
  <si>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</si>
  <si>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</si>
  <si>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</si>
  <si>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</si>
  <si>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</si>
  <si>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</si>
  <si>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</si>
  <si>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</si>
  <si>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</si>
  <si>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</si>
  <si>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</si>
  <si>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</si>
  <si>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</si>
  <si>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</si>
  <si>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</si>
  <si>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</si>
  <si>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</si>
  <si>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</si>
  <si>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</si>
  <si>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</si>
  <si>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</si>
  <si>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</si>
  <si>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</si>
  <si>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</si>
  <si>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</si>
  <si>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</si>
  <si>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</si>
  <si>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</si>
  <si>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</si>
  <si>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</si>
  <si>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</si>
  <si>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</si>
  <si>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</si>
  <si>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</si>
  <si>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</si>
  <si>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</si>
  <si>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</si>
  <si>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</si>
  <si>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</si>
  <si>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</si>
  <si>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</si>
  <si>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</si>
  <si>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</si>
  <si>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</si>
  <si>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</si>
  <si>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</si>
  <si>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</si>
  <si>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</si>
  <si>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</si>
  <si>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</si>
  <si>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</si>
  <si>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</si>
  <si>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</si>
  <si>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</si>
  <si>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</si>
  <si>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</si>
  <si>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</si>
  <si>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</si>
  <si>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</si>
  <si>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</si>
  <si>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</si>
  <si>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</si>
  <si>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</si>
  <si>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</si>
  <si>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</si>
  <si>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</si>
  <si>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</si>
  <si>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</si>
  <si>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</si>
  <si>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</si>
  <si>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</si>
  <si>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</si>
  <si>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</si>
  <si>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</si>
  <si>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</si>
  <si>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</si>
  <si>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</si>
  <si>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</si>
  <si>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</si>
  <si>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</si>
  <si>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</si>
  <si>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</si>
  <si>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</si>
  <si>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</si>
  <si>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</si>
  <si>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</si>
  <si>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</si>
  <si>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</si>
  <si>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</si>
  <si>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</si>
  <si>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</si>
  <si>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</si>
  <si>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</si>
  <si>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</si>
  <si>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</si>
  <si>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</si>
  <si>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</si>
  <si>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</si>
  <si>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</si>
  <si>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</si>
  <si>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</si>
  <si>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</si>
  <si>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</si>
  <si>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</si>
  <si>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</si>
  <si>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</si>
  <si>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</si>
  <si>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</si>
  <si>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</si>
  <si>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</si>
  <si>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</si>
  <si>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</si>
  <si>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</si>
  <si>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</si>
  <si>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</si>
  <si>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</si>
  <si>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</si>
  <si>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</si>
  <si>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</si>
  <si>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</si>
  <si>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</si>
  <si>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</si>
  <si>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</si>
  <si>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</si>
  <si>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</si>
  <si>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</si>
  <si>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</si>
  <si>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</si>
  <si>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</si>
  <si>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</si>
  <si>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</si>
  <si>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</si>
  <si>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</si>
  <si>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</si>
  <si>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</si>
  <si>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</si>
  <si>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</si>
  <si>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</si>
  <si>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</si>
  <si>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</si>
  <si>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</si>
  <si>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</si>
  <si>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</si>
  <si>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</si>
  <si>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</si>
  <si>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</si>
  <si>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</si>
  <si>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</si>
  <si>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</si>
  <si>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</si>
  <si>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</si>
  <si>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</si>
  <si>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</si>
  <si>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</si>
  <si>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</si>
  <si>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</si>
  <si>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</si>
  <si>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</si>
  <si>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</si>
  <si>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</si>
  <si>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</si>
  <si>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</si>
  <si>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</si>
  <si>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</si>
  <si>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</si>
  <si>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</si>
  <si>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</si>
  <si>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</si>
  <si>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</si>
  <si>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</si>
  <si>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</si>
  <si>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</si>
  <si>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</si>
  <si>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</si>
  <si>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</si>
  <si>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</si>
  <si>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</si>
  <si>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</si>
  <si>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</si>
  <si>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</si>
  <si>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</si>
  <si>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</si>
  <si>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</si>
  <si>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</si>
  <si>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</si>
  <si>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</si>
  <si>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</si>
  <si>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</si>
  <si>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</si>
  <si>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</si>
  <si>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</si>
  <si>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</si>
  <si>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</si>
  <si>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</si>
  <si>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</si>
  <si>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</si>
  <si>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</si>
  <si>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</si>
  <si>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</si>
  <si>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</si>
  <si>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</si>
  <si>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</si>
  <si>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</si>
  <si>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</si>
  <si>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</si>
  <si>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</si>
  <si>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</si>
  <si>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</si>
  <si>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</si>
  <si>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</si>
  <si>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</si>
  <si>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</si>
  <si>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</si>
  <si>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</si>
  <si>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</si>
  <si>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</si>
  <si>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</si>
  <si>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</si>
  <si>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</si>
  <si>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</si>
  <si>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</si>
  <si>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</si>
  <si>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</si>
  <si>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</si>
  <si>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</si>
  <si>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</si>
  <si>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</si>
  <si>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</si>
  <si>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</si>
  <si>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</si>
  <si>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</si>
  <si>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</si>
  <si>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</si>
  <si>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</si>
  <si>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</si>
  <si>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</si>
  <si>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</si>
  <si>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</si>
  <si>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</si>
  <si>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</si>
  <si>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</si>
  <si>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</si>
  <si>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</si>
  <si>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</si>
  <si>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</si>
  <si>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</si>
  <si>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</si>
  <si>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</si>
  <si>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</si>
  <si>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</si>
  <si>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</si>
  <si>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</si>
  <si>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</si>
  <si>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</si>
  <si>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</si>
  <si>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</si>
  <si>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</si>
  <si>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</si>
  <si>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</si>
  <si>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</si>
  <si>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</si>
  <si>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</si>
  <si>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</si>
  <si>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</si>
  <si>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</si>
  <si>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</si>
  <si>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</si>
  <si>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</si>
  <si>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</si>
  <si>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</si>
  <si>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</si>
  <si>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</si>
  <si>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</si>
  <si>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</si>
  <si>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</si>
  <si>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</si>
  <si>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</si>
  <si>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</si>
  <si>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</si>
  <si>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</si>
  <si>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</si>
  <si>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</si>
  <si>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</si>
  <si>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</si>
  <si>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</si>
  <si>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</si>
  <si>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</si>
  <si>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</si>
  <si>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</si>
  <si>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</si>
  <si>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</si>
  <si>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</si>
  <si>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</si>
  <si>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</si>
  <si>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</si>
  <si>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</si>
  <si>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</si>
  <si>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</si>
  <si>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</si>
  <si>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</si>
  <si>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</si>
  <si>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</si>
  <si>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</si>
  <si>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</si>
  <si>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</si>
  <si>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</si>
  <si>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</si>
  <si>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</si>
  <si>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</si>
  <si>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</si>
  <si>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</si>
  <si>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</si>
  <si>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</si>
  <si>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</si>
  <si>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</si>
  <si>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</si>
  <si>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</si>
  <si>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</si>
  <si>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</si>
  <si>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</si>
  <si>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</si>
  <si>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</si>
  <si>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</si>
  <si>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</si>
  <si>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</si>
  <si>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</si>
  <si>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</si>
  <si>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</si>
  <si>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</si>
  <si>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</si>
  <si>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</si>
  <si>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</si>
  <si>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</si>
  <si>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</si>
  <si>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</si>
  <si>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</si>
  <si>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</si>
  <si>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</si>
  <si>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</si>
  <si>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</si>
  <si>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</si>
  <si>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</si>
  <si>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</si>
  <si>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</si>
  <si>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</si>
  <si>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</si>
  <si>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</si>
  <si>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</si>
  <si>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</si>
  <si>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</si>
  <si>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</si>
  <si>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</si>
  <si>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</si>
  <si>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</si>
  <si>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</si>
  <si>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</si>
  <si>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</si>
  <si>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</si>
  <si>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</si>
  <si>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</si>
  <si>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</si>
  <si>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</si>
  <si>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</si>
  <si>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</si>
  <si>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</si>
  <si>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</si>
  <si>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</si>
  <si>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</si>
  <si>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</si>
  <si>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</si>
  <si>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</si>
  <si>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</si>
  <si>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</si>
  <si>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</si>
  <si>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</si>
  <si>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</si>
  <si>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</si>
  <si>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</si>
  <si>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</si>
  <si>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</si>
  <si>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</si>
  <si>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</si>
  <si>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</si>
  <si>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</si>
  <si>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</si>
  <si>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</si>
  <si>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</si>
  <si>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</si>
  <si>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</si>
  <si>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</si>
  <si>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</si>
  <si>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</si>
  <si>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</si>
  <si>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</si>
  <si>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</si>
  <si>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</si>
  <si>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</si>
  <si>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</si>
  <si>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</si>
  <si>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</si>
  <si>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</si>
  <si>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</si>
  <si>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</si>
  <si>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</si>
  <si>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</si>
  <si>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</si>
  <si>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</si>
  <si>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</si>
  <si>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</si>
  <si>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</si>
  <si>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</si>
  <si>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</si>
  <si>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</si>
  <si>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</si>
  <si>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</si>
  <si>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</si>
  <si>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</si>
  <si>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</si>
  <si>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</si>
  <si>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</si>
  <si>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</si>
  <si>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</si>
  <si>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</si>
  <si>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</si>
  <si>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</si>
  <si>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</si>
  <si>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</si>
  <si>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</si>
  <si>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</si>
  <si>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</si>
  <si>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</si>
  <si>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</si>
  <si>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</si>
  <si>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</si>
  <si>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</si>
  <si>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</si>
  <si>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</si>
  <si>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</si>
  <si>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</si>
  <si>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</si>
  <si>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</si>
  <si>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</si>
  <si>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</si>
  <si>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</si>
  <si>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</si>
  <si>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</si>
  <si>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</si>
  <si>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</si>
  <si>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</si>
  <si>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</si>
  <si>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</si>
  <si>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</si>
  <si>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</si>
  <si>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</si>
  <si>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</si>
  <si>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</si>
  <si>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</si>
  <si>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</si>
  <si>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</si>
  <si>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</si>
  <si>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</si>
  <si>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</si>
  <si>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</si>
  <si>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</si>
  <si>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</si>
  <si>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</si>
  <si>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</si>
  <si>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</si>
  <si>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</si>
  <si>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</si>
  <si>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</si>
  <si>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</si>
  <si>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</si>
  <si>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</si>
  <si>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</si>
  <si>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</si>
  <si>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</si>
  <si>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</si>
  <si>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</si>
  <si>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</si>
  <si>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</si>
  <si>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</si>
  <si>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</si>
  <si>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</si>
  <si>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</si>
  <si>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</si>
  <si>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</si>
  <si>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</si>
  <si>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</si>
  <si>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</si>
  <si>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</si>
  <si>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</si>
  <si>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</si>
  <si>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</si>
  <si>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</si>
  <si>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</si>
  <si>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</si>
  <si>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</si>
  <si>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</si>
  <si>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</si>
  <si>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</si>
  <si>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</si>
  <si>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</si>
  <si>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</si>
  <si>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</si>
  <si>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</si>
  <si>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</si>
  <si>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</si>
  <si>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</si>
  <si>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</si>
  <si>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</si>
  <si>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</si>
  <si>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</si>
  <si>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</si>
  <si>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</si>
  <si>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</si>
  <si>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</si>
  <si>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</si>
  <si>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</si>
  <si>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</si>
  <si>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</si>
  <si>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</si>
  <si>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</si>
  <si>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</si>
  <si>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</si>
  <si>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</si>
  <si>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</si>
  <si>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</si>
  <si>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</si>
  <si>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</si>
  <si>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</si>
  <si>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</si>
  <si>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</si>
  <si>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</si>
  <si>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</si>
  <si>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</si>
  <si>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</si>
  <si>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</si>
  <si>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</si>
  <si>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</si>
  <si>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</si>
  <si>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</si>
  <si>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</si>
  <si>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</si>
  <si>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</si>
  <si>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</si>
  <si>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</si>
  <si>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</si>
  <si>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</si>
  <si>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</si>
  <si>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</si>
  <si>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</si>
  <si>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</si>
  <si>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</si>
  <si>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</si>
  <si>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</si>
  <si>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</si>
  <si>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</si>
  <si>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</si>
  <si>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</si>
  <si>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</si>
  <si>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</si>
  <si>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</si>
  <si>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</si>
  <si>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</si>
  <si>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</si>
  <si>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</si>
  <si>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</si>
  <si>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</si>
  <si>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</si>
  <si>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</si>
  <si>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</si>
  <si>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</si>
  <si>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</si>
  <si>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</si>
  <si>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</si>
  <si>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</si>
  <si>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</si>
  <si>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</si>
  <si>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</si>
  <si>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</si>
  <si>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</si>
  <si>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</si>
  <si>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</si>
  <si>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</si>
  <si>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</si>
  <si>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</si>
  <si>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</si>
  <si>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</si>
  <si>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</si>
  <si>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</si>
  <si>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</si>
  <si>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</si>
  <si>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</si>
  <si>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</si>
  <si>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</si>
  <si>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</si>
  <si>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</si>
  <si>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</si>
  <si>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</si>
  <si>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</si>
  <si>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</si>
  <si>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</si>
  <si>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</si>
  <si>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</si>
  <si>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</si>
  <si>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</si>
  <si>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</si>
  <si>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</si>
  <si>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</si>
  <si>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</si>
  <si>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</si>
  <si>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</si>
  <si>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</si>
  <si>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</si>
  <si>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</si>
  <si>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</si>
  <si>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</si>
  <si>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</si>
  <si>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</si>
  <si>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</si>
  <si>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</si>
  <si>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</si>
  <si>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</si>
  <si>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</si>
  <si>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</si>
  <si>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</si>
  <si>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</si>
  <si>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</si>
  <si>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</si>
  <si>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</si>
  <si>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</si>
  <si>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</si>
  <si>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</si>
  <si>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</si>
  <si>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</si>
  <si>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</si>
  <si>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</si>
  <si>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</si>
  <si>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</si>
  <si>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</si>
  <si>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</si>
  <si>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</si>
  <si>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</si>
  <si>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</si>
  <si>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</si>
  <si>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</si>
  <si>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</si>
  <si>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</si>
  <si>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</si>
  <si>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</si>
  <si>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</si>
  <si>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</si>
  <si>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</si>
  <si>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</si>
  <si>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</si>
  <si>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</si>
  <si>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</si>
  <si>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</si>
  <si>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</si>
  <si>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</si>
  <si>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</si>
  <si>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</si>
  <si>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</si>
  <si>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</si>
  <si>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</si>
  <si>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</si>
  <si>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</si>
  <si>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</si>
  <si>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</si>
  <si>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</si>
  <si>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</si>
  <si>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</si>
  <si>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</si>
  <si>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</si>
  <si>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</si>
  <si>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</si>
  <si>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</si>
  <si>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</si>
  <si>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</si>
  <si>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</si>
  <si>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</si>
  <si>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</si>
  <si>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</si>
  <si>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</si>
  <si>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</si>
  <si>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</si>
  <si>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</si>
  <si>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</si>
  <si>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</si>
  <si>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</si>
  <si>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</si>
  <si>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</si>
  <si>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</si>
  <si>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</si>
  <si>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</si>
  <si>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</si>
  <si>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</si>
  <si>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</si>
  <si>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</si>
  <si>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</si>
  <si>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</si>
  <si>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</si>
  <si>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</si>
  <si>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</si>
  <si>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</si>
  <si>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</si>
  <si>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</si>
  <si>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</si>
  <si>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</si>
  <si>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</si>
  <si>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</si>
  <si>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</si>
  <si>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</si>
  <si>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</si>
  <si>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</si>
  <si>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</si>
  <si>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</si>
  <si>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</si>
  <si>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</si>
  <si>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</si>
  <si>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</si>
  <si>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</si>
  <si>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</si>
  <si>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</si>
  <si>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</si>
  <si>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</si>
  <si>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</si>
  <si>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</si>
  <si>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</si>
  <si>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</si>
  <si>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</si>
  <si>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</si>
  <si>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</si>
  <si>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</si>
  <si>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</si>
  <si>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</si>
  <si>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</si>
  <si>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</si>
  <si>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</si>
  <si>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</si>
  <si>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</si>
  <si>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</si>
  <si>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</si>
  <si>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</si>
  <si>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</si>
  <si>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</si>
  <si>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</si>
  <si>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</si>
  <si>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</si>
  <si>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</si>
  <si>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</si>
  <si>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</si>
  <si>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</si>
  <si>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</si>
  <si>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</si>
  <si>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</si>
  <si>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</si>
  <si>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</si>
  <si>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</si>
  <si>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</si>
  <si>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</si>
  <si>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</si>
  <si>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</si>
  <si>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</si>
  <si>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</si>
  <si>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</si>
  <si>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</si>
  <si>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</si>
  <si>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</si>
  <si>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</si>
  <si>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</si>
  <si>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</si>
  <si>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</si>
  <si>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</si>
  <si>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</si>
  <si>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</si>
  <si>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</si>
  <si>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</si>
  <si>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</si>
  <si>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</si>
  <si>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</si>
  <si>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</si>
  <si>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</si>
  <si>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</si>
  <si>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</si>
  <si>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</si>
  <si>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</si>
  <si>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</si>
  <si>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</si>
  <si>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</si>
  <si>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</si>
  <si>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</si>
  <si>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</si>
  <si>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</si>
  <si>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</si>
  <si>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</si>
  <si>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</si>
  <si>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</si>
  <si>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</si>
  <si>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</si>
  <si>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</si>
  <si>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</si>
  <si>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</si>
  <si>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</si>
  <si>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</si>
  <si>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</si>
  <si>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</si>
  <si>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</si>
  <si>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</si>
  <si>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</si>
  <si>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</si>
  <si>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</si>
  <si>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</si>
  <si>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</si>
  <si>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</si>
  <si>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</si>
  <si>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</si>
  <si>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</si>
  <si>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</si>
  <si>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</si>
  <si>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</si>
  <si>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</si>
  <si>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</si>
  <si>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</si>
  <si>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</si>
  <si>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</si>
  <si>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</si>
  <si>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</si>
  <si>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</si>
  <si>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</si>
  <si>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</si>
  <si>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</si>
  <si>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</si>
  <si>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</si>
  <si>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</si>
  <si>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</si>
  <si>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</si>
  <si>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</si>
  <si>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</si>
  <si>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</si>
  <si>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</si>
  <si>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</si>
  <si>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</si>
  <si>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</si>
  <si>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</si>
  <si>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</si>
  <si>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</si>
  <si>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</si>
  <si>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</si>
  <si>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</si>
  <si>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</si>
  <si>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</si>
  <si>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</si>
  <si>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</si>
  <si>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</si>
  <si>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</si>
  <si>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</si>
  <si>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</si>
  <si>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</si>
  <si>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</si>
  <si>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</si>
  <si>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</si>
  <si>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</si>
  <si>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</si>
  <si>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</si>
  <si>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</si>
  <si>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</si>
  <si>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</si>
  <si>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</si>
  <si>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</si>
  <si>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</si>
  <si>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</si>
  <si>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</si>
  <si>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</si>
  <si>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</si>
  <si>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</si>
  <si>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</si>
  <si>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</si>
  <si>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</si>
  <si>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</si>
  <si>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</si>
  <si>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</si>
  <si>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</si>
  <si>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</si>
  <si>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</si>
  <si>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</si>
  <si>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</si>
  <si>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</si>
  <si>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</si>
  <si>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</si>
  <si>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</si>
  <si>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</si>
  <si>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</si>
  <si>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</si>
  <si>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</si>
  <si>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</si>
  <si>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</si>
  <si>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</si>
  <si>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</si>
  <si>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</si>
  <si>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</si>
  <si>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</si>
  <si>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</si>
  <si>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</si>
  <si>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</si>
  <si>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</si>
  <si>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</si>
  <si>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</si>
  <si>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</si>
  <si>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</si>
  <si>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</si>
  <si>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</si>
  <si>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</si>
  <si>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</si>
  <si>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</si>
  <si>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</si>
  <si>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</si>
  <si>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</si>
  <si>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</si>
  <si>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</si>
  <si>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</si>
  <si>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</si>
  <si>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</si>
  <si>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</si>
  <si>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</si>
  <si>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</si>
  <si>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</si>
  <si>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</si>
  <si>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</si>
  <si>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</si>
  <si>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</si>
  <si>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</si>
  <si>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</si>
  <si>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</si>
  <si>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</si>
  <si>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</si>
  <si>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</si>
  <si>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</si>
  <si>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</si>
  <si>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</si>
  <si>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</si>
  <si>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</si>
  <si>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</si>
  <si>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</si>
  <si>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</si>
  <si>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</si>
  <si>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</si>
  <si>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</si>
  <si>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</si>
  <si>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</si>
  <si>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</si>
  <si>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</si>
  <si>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</si>
  <si>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</si>
  <si>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</si>
  <si>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</si>
  <si>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</si>
  <si>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</si>
  <si>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</si>
  <si>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</si>
  <si>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</si>
  <si>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</si>
  <si>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</si>
  <si>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</si>
  <si>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</si>
  <si>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</si>
  <si>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</si>
  <si>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</si>
  <si>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</si>
  <si>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</si>
  <si>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</si>
  <si>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</si>
  <si>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</si>
  <si>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</si>
  <si>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</si>
  <si>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</si>
  <si>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</si>
  <si>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</si>
  <si>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</si>
  <si>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</si>
  <si>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</si>
  <si>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</si>
  <si>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</si>
  <si>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</si>
  <si>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</si>
  <si>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</si>
  <si>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</si>
  <si>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</si>
  <si>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</si>
  <si>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</si>
  <si>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</si>
  <si>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</si>
  <si>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</si>
  <si>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</si>
  <si>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</si>
  <si>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</si>
  <si>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</si>
  <si>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</si>
  <si>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</si>
  <si>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</si>
  <si>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</si>
  <si>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</si>
  <si>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</si>
  <si>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</si>
  <si>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</si>
  <si>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</si>
  <si>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</si>
  <si>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</si>
  <si>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</si>
  <si>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</si>
  <si>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</si>
  <si>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</si>
  <si>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</si>
  <si>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</si>
  <si>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</si>
  <si>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</si>
  <si>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</si>
  <si>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</si>
  <si>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</si>
  <si>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</si>
  <si>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</si>
  <si>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</si>
  <si>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</si>
  <si>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</si>
  <si>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</si>
  <si>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</si>
  <si>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</si>
  <si>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</si>
  <si>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</si>
  <si>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</si>
  <si>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</si>
  <si>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</si>
  <si>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</si>
  <si>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</si>
  <si>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</si>
  <si>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</si>
  <si>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</si>
  <si>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</si>
  <si>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</si>
  <si>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</si>
  <si>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</si>
  <si>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</si>
  <si>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</si>
  <si>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</si>
  <si>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</si>
  <si>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</si>
  <si>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</si>
  <si>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</si>
  <si>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</si>
  <si>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</si>
  <si>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</si>
  <si>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</si>
  <si>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</si>
  <si>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</si>
  <si>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</si>
  <si>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</si>
  <si>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</si>
  <si>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</si>
  <si>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</si>
  <si>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</si>
  <si>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</si>
  <si>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</si>
  <si>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</si>
  <si>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</si>
  <si>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</si>
  <si>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</si>
  <si>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</si>
  <si>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</si>
  <si>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</si>
  <si>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</si>
  <si>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</si>
  <si>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</si>
  <si>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</si>
  <si>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</si>
  <si>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</si>
  <si>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</si>
  <si>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</si>
  <si>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</si>
  <si>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</si>
  <si>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</si>
  <si>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</si>
  <si>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</si>
  <si>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</si>
  <si>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</si>
  <si>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</si>
  <si>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</si>
  <si>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</si>
  <si>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</si>
  <si>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</si>
  <si>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</si>
  <si>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</si>
  <si>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</si>
  <si>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</si>
  <si>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</si>
  <si>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</si>
  <si>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</si>
  <si>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</si>
  <si>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</si>
  <si>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</si>
  <si>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</si>
  <si>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</si>
  <si>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</si>
  <si>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</si>
  <si>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</si>
  <si>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</si>
  <si>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</si>
  <si>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</si>
  <si>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</si>
  <si>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</si>
  <si>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</si>
  <si>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</si>
  <si>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</si>
  <si>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</si>
  <si>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</si>
  <si>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</si>
  <si>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</si>
  <si>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</si>
  <si>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</si>
  <si>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</si>
  <si>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</si>
  <si>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</si>
  <si>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</si>
  <si>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</si>
  <si>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</si>
  <si>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</si>
  <si>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</si>
  <si>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</si>
  <si>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</si>
  <si>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</si>
  <si>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</si>
  <si>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</si>
  <si>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</si>
  <si>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</si>
  <si>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</si>
  <si>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</si>
  <si>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</si>
  <si>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</si>
  <si>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</si>
  <si>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</si>
  <si>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</si>
  <si>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</si>
  <si>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</si>
  <si>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</si>
  <si>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</si>
  <si>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</si>
  <si>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</si>
  <si>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</si>
  <si>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</si>
  <si>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</si>
  <si>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</si>
  <si>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</si>
  <si>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</si>
  <si>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</si>
  <si>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</si>
  <si>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</si>
  <si>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</si>
  <si>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</si>
  <si>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</si>
  <si>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</si>
  <si>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</si>
  <si>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</si>
  <si>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</si>
  <si>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</si>
  <si>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</si>
  <si>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</si>
  <si>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</si>
  <si>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</si>
  <si>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</si>
  <si>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</si>
  <si>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</si>
  <si>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</si>
  <si>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</si>
  <si>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</si>
  <si>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</si>
  <si>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</si>
  <si>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</si>
  <si>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</si>
  <si>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</si>
  <si>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</si>
  <si>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</si>
  <si>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</si>
  <si>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</si>
  <si>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</si>
  <si>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</si>
  <si>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</si>
  <si>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</si>
  <si>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</si>
  <si>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</si>
  <si>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</si>
  <si>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</si>
  <si>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</si>
  <si>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</si>
  <si>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</si>
  <si>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</si>
  <si>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</si>
  <si>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</si>
  <si>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</si>
  <si>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</si>
  <si>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</si>
  <si>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</si>
  <si>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</si>
  <si>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</si>
  <si>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</si>
  <si>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</si>
  <si>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</si>
  <si>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</si>
  <si>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</si>
  <si>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</si>
  <si>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</si>
  <si>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</si>
  <si>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</si>
  <si>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</si>
  <si>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</si>
  <si>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</si>
  <si>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</si>
  <si>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</si>
  <si>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</si>
  <si>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</si>
  <si>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</si>
  <si>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</si>
  <si>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</si>
  <si>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</si>
  <si>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</si>
  <si>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</si>
  <si>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</si>
  <si>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</si>
  <si>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</si>
  <si>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</si>
  <si>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</si>
  <si>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</si>
  <si>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</si>
  <si>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</si>
  <si>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</si>
  <si>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</si>
  <si>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</si>
  <si>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</si>
  <si>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</si>
  <si>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</si>
  <si>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</si>
  <si>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</si>
  <si>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</si>
  <si>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</si>
  <si>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</si>
  <si>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</si>
  <si>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</si>
  <si>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</si>
  <si>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</si>
  <si>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</si>
  <si>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</si>
  <si>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</si>
  <si>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</si>
  <si>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</si>
  <si>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</si>
  <si>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</si>
  <si>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</si>
  <si>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</si>
  <si>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</si>
  <si>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</si>
  <si>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</si>
  <si>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</si>
  <si>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</si>
  <si>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</si>
  <si>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</si>
  <si>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</si>
  <si>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</si>
  <si>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</si>
  <si>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</si>
  <si>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</si>
  <si>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</si>
  <si>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</si>
  <si>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</si>
  <si>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</si>
  <si>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</si>
  <si>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</si>
  <si>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</si>
  <si>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</si>
  <si>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</si>
  <si>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</si>
  <si>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</si>
  <si>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</si>
  <si>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</si>
  <si>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</si>
  <si>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</si>
  <si>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</si>
  <si>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</si>
  <si>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</si>
  <si>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</si>
  <si>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</si>
  <si>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</si>
  <si>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</si>
  <si>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</si>
  <si>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</si>
  <si>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</si>
  <si>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</si>
  <si>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</si>
  <si>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</si>
  <si>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</si>
  <si>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</si>
  <si>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</si>
  <si>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</si>
  <si>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</si>
  <si>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</si>
  <si>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</si>
  <si>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</si>
  <si>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</si>
  <si>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</si>
  <si>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</si>
  <si>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</si>
  <si>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</si>
  <si>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</si>
  <si>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</si>
  <si>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</si>
  <si>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</si>
  <si>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</si>
  <si>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</si>
  <si>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</si>
  <si>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</si>
  <si>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</si>
  <si>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</si>
  <si>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</si>
  <si>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</si>
  <si>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</si>
  <si>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</si>
  <si>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</si>
  <si>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</si>
  <si>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</si>
  <si>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</si>
  <si>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</si>
  <si>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</si>
  <si>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</si>
  <si>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</si>
  <si>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</si>
  <si>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</si>
  <si>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</si>
  <si>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</si>
  <si>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</si>
  <si>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</si>
  <si>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</si>
  <si>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</si>
  <si>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</si>
  <si>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</si>
  <si>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</si>
  <si>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</si>
  <si>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</si>
  <si>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</si>
  <si>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</si>
  <si>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</si>
  <si>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</si>
  <si>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</si>
  <si>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</si>
  <si>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</si>
  <si>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</si>
  <si>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</si>
  <si>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</si>
  <si>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</si>
  <si>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</si>
  <si>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</si>
  <si>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</si>
  <si>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</si>
  <si>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</si>
  <si>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</si>
  <si>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</si>
  <si>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</si>
  <si>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</si>
  <si>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</si>
  <si>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</si>
  <si>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</si>
  <si>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</si>
  <si>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</si>
  <si>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</si>
  <si>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</si>
  <si>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</si>
  <si>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</si>
  <si>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</si>
  <si>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</si>
  <si>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</si>
  <si>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</si>
  <si>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</si>
  <si>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</si>
  <si>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</si>
  <si>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</si>
  <si>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</si>
  <si>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</si>
  <si>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</si>
  <si>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</si>
  <si>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</si>
  <si>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</si>
  <si>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</si>
  <si>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</si>
  <si>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</si>
  <si>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</si>
  <si>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</si>
  <si>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</si>
  <si>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</si>
  <si>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</si>
  <si>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</si>
  <si>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</si>
  <si>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</si>
  <si>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</si>
  <si>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</si>
  <si>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</si>
  <si>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</si>
  <si>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</si>
  <si>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</si>
  <si>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</si>
  <si>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</si>
  <si>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</si>
  <si>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</si>
  <si>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</si>
  <si>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</si>
  <si>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</si>
  <si>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</si>
  <si>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</si>
  <si>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</si>
  <si>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</si>
  <si>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</si>
  <si>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</si>
  <si>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</si>
  <si>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</si>
  <si>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</si>
  <si>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</si>
  <si>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</si>
  <si>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</si>
  <si>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</si>
  <si>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</si>
  <si>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</si>
  <si>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</si>
  <si>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</si>
  <si>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</si>
  <si>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</si>
  <si>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</si>
  <si>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</si>
  <si>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</si>
  <si>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</si>
  <si>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</si>
  <si>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</si>
  <si>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</si>
  <si>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</si>
  <si>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</si>
  <si>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</si>
  <si>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</si>
  <si>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</si>
  <si>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</si>
  <si>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</si>
  <si>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</si>
  <si>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</si>
  <si>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</si>
  <si>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</si>
  <si>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</si>
  <si>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</si>
  <si>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</si>
  <si>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</si>
  <si>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</si>
  <si>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</si>
  <si>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</si>
  <si>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</si>
  <si>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</si>
  <si>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</si>
  <si>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</si>
  <si>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</si>
  <si>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</si>
  <si>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</si>
  <si>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</si>
  <si>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</si>
  <si>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</si>
  <si>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</si>
  <si>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</si>
  <si>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</si>
  <si>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</si>
  <si>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</si>
  <si>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</si>
  <si>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</si>
  <si>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</si>
  <si>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</si>
  <si>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</si>
  <si>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</si>
  <si>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</si>
  <si>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</si>
  <si>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</si>
  <si>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</si>
  <si>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</si>
  <si>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</si>
  <si>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</si>
  <si>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</si>
  <si>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</si>
  <si>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</si>
  <si>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</si>
  <si>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</si>
  <si>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</si>
  <si>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</si>
  <si>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</si>
  <si>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</si>
  <si>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</si>
  <si>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</si>
  <si>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</si>
  <si>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</si>
  <si>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</si>
  <si>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</si>
  <si>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</si>
  <si>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</si>
  <si>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</si>
  <si>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</si>
  <si>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</si>
  <si>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</si>
  <si>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</si>
  <si>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</si>
  <si>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</si>
  <si>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</si>
  <si>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</si>
  <si>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</si>
  <si>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</si>
  <si>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</si>
  <si>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</si>
  <si>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</si>
  <si>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</si>
  <si>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</si>
  <si>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</si>
  <si>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</si>
  <si>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</si>
  <si>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</si>
  <si>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</si>
  <si>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</si>
  <si>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</si>
  <si>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</si>
  <si>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</si>
  <si>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</si>
  <si>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</si>
  <si>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</si>
  <si>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</si>
  <si>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</si>
  <si>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</si>
  <si>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</si>
  <si>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</si>
  <si>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</si>
  <si>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</si>
  <si>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</si>
  <si>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</si>
  <si>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</si>
  <si>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</si>
  <si>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</si>
  <si>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</si>
  <si>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</si>
  <si>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</si>
  <si>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</si>
  <si>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</si>
  <si>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</si>
  <si>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</si>
  <si>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</si>
  <si>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</si>
  <si>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</si>
  <si>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</si>
  <si>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</si>
  <si>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</si>
  <si>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</si>
  <si>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</si>
  <si>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</si>
  <si>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</si>
  <si>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</si>
  <si>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</si>
  <si>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</si>
  <si>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</si>
  <si>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</si>
  <si>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</si>
  <si>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</si>
  <si>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</si>
  <si>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</si>
  <si>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</si>
  <si>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</si>
  <si>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</si>
  <si>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</si>
  <si>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</si>
  <si>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</si>
  <si>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</si>
  <si>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</si>
  <si>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</si>
  <si>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</si>
  <si>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</si>
  <si>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</si>
  <si>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</si>
  <si>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</si>
  <si>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</si>
  <si>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</si>
  <si>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</si>
  <si>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</si>
  <si>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</si>
  <si>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</si>
  <si>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</si>
  <si>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</si>
  <si>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</si>
  <si>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</si>
  <si>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</si>
  <si>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</si>
  <si>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</si>
  <si>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</si>
  <si>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</si>
  <si>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</si>
  <si>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</si>
  <si>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</si>
  <si>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</si>
  <si>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</si>
  <si>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</si>
  <si>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</si>
  <si>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</si>
  <si>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</si>
  <si>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</si>
  <si>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</si>
  <si>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</si>
  <si>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</si>
  <si>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</si>
  <si>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</si>
  <si>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</si>
  <si>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</si>
  <si>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</si>
  <si>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</si>
  <si>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</si>
  <si>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</si>
  <si>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</si>
  <si>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</si>
  <si>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</si>
  <si>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</si>
  <si>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</si>
  <si>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</si>
  <si>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</si>
  <si>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</si>
  <si>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</si>
  <si>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</si>
  <si>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</si>
  <si>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</si>
  <si>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</si>
  <si>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</si>
  <si>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</si>
  <si>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</si>
  <si>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</si>
  <si>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</si>
  <si>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</si>
  <si>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</si>
  <si>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</si>
  <si>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</si>
  <si>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</si>
  <si>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</si>
  <si>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</si>
  <si>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</si>
  <si>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</si>
  <si>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</si>
  <si>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</si>
  <si>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</si>
  <si>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</si>
  <si>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</si>
  <si>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</si>
  <si>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</si>
  <si>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</si>
  <si>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</si>
  <si>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</si>
  <si>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</si>
  <si>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</si>
  <si>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</si>
  <si>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</si>
  <si>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</si>
  <si>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</si>
  <si>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</si>
  <si>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</si>
  <si>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</si>
  <si>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</si>
  <si>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</si>
  <si>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</si>
  <si>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</si>
  <si>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</si>
  <si>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</si>
  <si>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</si>
  <si>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</si>
  <si>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</si>
  <si>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</si>
  <si>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</si>
  <si>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</si>
  <si>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</si>
  <si>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</si>
  <si>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</si>
  <si>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</si>
  <si>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</si>
  <si>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</si>
  <si>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</si>
  <si>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</si>
  <si>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</si>
  <si>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</si>
  <si>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</si>
  <si>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</si>
  <si>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</si>
  <si>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</si>
  <si>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</si>
  <si>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</si>
  <si>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</si>
  <si>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</si>
  <si>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</si>
  <si>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</si>
  <si>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</si>
  <si>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</si>
  <si>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</si>
  <si>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</si>
  <si>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</si>
  <si>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</si>
  <si>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</si>
  <si>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</si>
  <si>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</si>
  <si>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</si>
  <si>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</si>
  <si>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</si>
  <si>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</si>
  <si>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</si>
  <si>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</si>
  <si>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</si>
  <si>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</si>
  <si>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</si>
  <si>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</si>
  <si>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</si>
  <si>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</si>
  <si>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</si>
  <si>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</si>
  <si>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</si>
  <si>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</si>
  <si>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</si>
  <si>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</si>
  <si>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</si>
  <si>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</si>
  <si>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</si>
  <si>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</si>
  <si>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</si>
  <si>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</si>
  <si>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</si>
  <si>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</si>
  <si>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</si>
  <si>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</si>
  <si>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</si>
  <si>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</si>
  <si>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</si>
  <si>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</si>
  <si>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</si>
  <si>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</si>
  <si>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</si>
  <si>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</si>
  <si>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</si>
  <si>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</si>
  <si>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</si>
  <si>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</si>
  <si>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</si>
  <si>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</si>
  <si>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</si>
  <si>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</si>
  <si>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</si>
  <si>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</si>
  <si>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</si>
  <si>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</si>
  <si>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</si>
  <si>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</si>
  <si>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</si>
  <si>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</si>
  <si>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</si>
  <si>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</si>
  <si>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</si>
  <si>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</si>
  <si>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</si>
  <si>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</si>
  <si>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</si>
  <si>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</si>
  <si>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</si>
  <si>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</si>
  <si>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</si>
  <si>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</si>
  <si>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</si>
  <si>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</si>
  <si>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</si>
  <si>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</si>
  <si>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</si>
  <si>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</si>
  <si>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</si>
  <si>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</si>
  <si>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</si>
  <si>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</si>
  <si>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</si>
  <si>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</si>
  <si>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</si>
  <si>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</si>
  <si>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</si>
  <si>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</si>
  <si>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</si>
  <si>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</si>
  <si>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</si>
  <si>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</si>
  <si>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</si>
  <si>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</si>
  <si>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</si>
  <si>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</si>
  <si>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</si>
  <si>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</si>
  <si>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</si>
  <si>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</si>
  <si>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</si>
  <si>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</si>
  <si>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</si>
  <si>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</si>
  <si>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</si>
  <si>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</si>
  <si>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</si>
  <si>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</si>
  <si>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</si>
  <si>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</si>
  <si>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</si>
  <si>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</si>
  <si>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</si>
  <si>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</si>
  <si>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</si>
  <si>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</si>
  <si>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</si>
  <si>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</si>
  <si>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</si>
  <si>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</si>
  <si>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</si>
  <si>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</si>
  <si>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</si>
  <si>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</si>
  <si>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</si>
  <si>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</si>
  <si>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</si>
  <si>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</si>
  <si>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</si>
  <si>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</si>
  <si>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</si>
  <si>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</si>
  <si>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</si>
  <si>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</si>
  <si>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</si>
  <si>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</si>
  <si>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</si>
  <si>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</si>
  <si>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</si>
  <si>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</si>
  <si>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</si>
  <si>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</si>
  <si>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</si>
  <si>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</si>
  <si>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</si>
  <si>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</si>
  <si>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</si>
  <si>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</si>
  <si>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</si>
  <si>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</si>
  <si>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</si>
  <si>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</si>
  <si>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</si>
  <si>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</si>
  <si>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</si>
  <si>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</si>
  <si>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</si>
  <si>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</si>
  <si>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</si>
  <si>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</si>
  <si>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</si>
  <si>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</si>
  <si>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</si>
  <si>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</si>
  <si>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</si>
  <si>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</si>
  <si>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</si>
  <si>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</si>
  <si>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</si>
  <si>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</si>
  <si>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</si>
  <si>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</si>
  <si>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</si>
  <si>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</si>
  <si>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</si>
  <si>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</si>
  <si>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</si>
  <si>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</si>
  <si>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</si>
  <si>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</si>
  <si>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</si>
  <si>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</si>
  <si>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</si>
  <si>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</si>
  <si>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</si>
  <si>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</si>
  <si>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</si>
  <si>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</si>
  <si>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</si>
  <si>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</si>
  <si>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</si>
  <si>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</si>
  <si>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</si>
  <si>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</si>
  <si>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</si>
  <si>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</si>
  <si>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</si>
  <si>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</si>
  <si>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</si>
  <si>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</si>
  <si>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</si>
  <si>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</si>
  <si>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</si>
  <si>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</si>
  <si>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</si>
  <si>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</si>
  <si>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</si>
  <si>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</si>
  <si>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</si>
  <si>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</si>
  <si>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</si>
  <si>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</si>
  <si>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</si>
  <si>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</si>
  <si>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</si>
  <si>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</si>
  <si>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</si>
  <si>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</si>
  <si>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</si>
  <si>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</si>
  <si>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</si>
  <si>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</si>
  <si>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</si>
  <si>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</si>
  <si>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</si>
  <si>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</si>
  <si>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</si>
  <si>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</si>
  <si>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</si>
  <si>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</si>
  <si>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</si>
  <si>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</si>
  <si>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</si>
  <si>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</si>
  <si>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</si>
  <si>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</si>
  <si>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</si>
  <si>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</si>
  <si>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</si>
  <si>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</si>
  <si>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</si>
  <si>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</si>
  <si>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</si>
  <si>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</si>
  <si>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</si>
  <si>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</si>
  <si>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</si>
  <si>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</si>
  <si>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</si>
  <si>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</si>
  <si>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</si>
  <si>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</si>
  <si>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</si>
  <si>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</si>
  <si>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</si>
  <si>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</si>
  <si>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</si>
  <si>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</si>
  <si>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</si>
  <si>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</si>
  <si>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</si>
  <si>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</si>
  <si>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</si>
  <si>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</si>
  <si>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</si>
  <si>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</si>
  <si>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</si>
  <si>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</si>
  <si>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</si>
  <si>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</si>
  <si>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</si>
  <si>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</si>
  <si>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</si>
  <si>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</si>
  <si>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</si>
  <si>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</si>
  <si>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</si>
  <si>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</si>
  <si>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</si>
  <si>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</si>
  <si>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</si>
  <si>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</si>
  <si>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</si>
  <si>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</si>
  <si>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</si>
  <si>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</si>
  <si>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</si>
  <si>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</si>
  <si>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</si>
  <si>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</si>
  <si>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</si>
  <si>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</si>
  <si>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</si>
  <si>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</si>
  <si>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</si>
  <si>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</si>
  <si>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</si>
  <si>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</si>
  <si>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</si>
  <si>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</si>
  <si>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</si>
  <si>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</si>
  <si>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</si>
  <si>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</si>
  <si>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</si>
  <si>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</si>
  <si>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</si>
  <si>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</si>
  <si>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</si>
  <si>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</si>
  <si>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</si>
  <si>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</si>
  <si>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</si>
  <si>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</si>
  <si>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</si>
  <si>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</si>
  <si>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</si>
  <si>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</si>
  <si>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</si>
  <si>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</si>
  <si>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</si>
  <si>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</si>
  <si>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</si>
  <si>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</si>
  <si>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</si>
  <si>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</si>
  <si>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</si>
  <si>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</si>
  <si>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</si>
  <si>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</si>
  <si>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</si>
  <si>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</si>
  <si>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</si>
  <si>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</si>
  <si>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</si>
  <si>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</si>
  <si>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</si>
  <si>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</si>
  <si>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</si>
  <si>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</si>
  <si>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</si>
  <si>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</si>
  <si>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</si>
  <si>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</si>
  <si>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</si>
  <si>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</si>
  <si>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</si>
  <si>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</si>
  <si>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</si>
  <si>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</si>
  <si>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</si>
  <si>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</si>
  <si>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</si>
  <si>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</si>
  <si>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</si>
  <si>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</si>
  <si>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</si>
  <si>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</si>
  <si>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</si>
  <si>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</si>
  <si>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</si>
  <si>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</si>
  <si>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</si>
  <si>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</si>
  <si>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</si>
  <si>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</si>
  <si>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</si>
  <si>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</si>
  <si>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</si>
  <si>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</si>
  <si>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</si>
  <si>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</si>
  <si>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</si>
  <si>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</si>
  <si>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</si>
  <si>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</si>
  <si>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</si>
  <si>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</si>
  <si>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</si>
  <si>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</si>
  <si>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</si>
  <si>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</si>
  <si>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</si>
  <si>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</si>
  <si>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</si>
  <si>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</si>
  <si>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</si>
  <si>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</si>
  <si>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</si>
  <si>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</si>
  <si>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</si>
  <si>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</si>
  <si>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</si>
  <si>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</si>
  <si>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</si>
  <si>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</si>
  <si>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</si>
  <si>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</si>
  <si>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</si>
  <si>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</si>
  <si>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</si>
  <si>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</si>
  <si>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</si>
  <si>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</si>
  <si>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</si>
  <si>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</si>
  <si>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</si>
  <si>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</si>
  <si>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</si>
  <si>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</si>
  <si>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</si>
  <si>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</si>
  <si>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</si>
  <si>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</si>
  <si>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</si>
  <si>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</si>
  <si>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</si>
  <si>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</si>
  <si>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</si>
  <si>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</si>
  <si>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</si>
  <si>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</si>
  <si>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</si>
  <si>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</si>
  <si>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</si>
  <si>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</si>
  <si>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</si>
  <si>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</si>
  <si>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</si>
  <si>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</si>
  <si>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</si>
  <si>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</si>
  <si>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</si>
  <si>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</si>
  <si>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</si>
  <si>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</si>
  <si>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</si>
  <si>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</si>
  <si>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</si>
  <si>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</si>
  <si>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</si>
  <si>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</si>
  <si>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</si>
  <si>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</si>
  <si>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</si>
  <si>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</si>
  <si>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</si>
  <si>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</si>
  <si>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</si>
  <si>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</si>
  <si>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</si>
  <si>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</si>
  <si>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</si>
  <si>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</si>
  <si>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</si>
  <si>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</si>
  <si>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</si>
  <si>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</si>
  <si>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</si>
  <si>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</si>
  <si>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</si>
  <si>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</si>
  <si>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</si>
  <si>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</si>
  <si>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</si>
  <si>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</si>
  <si>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</si>
  <si>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</si>
  <si>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</si>
  <si>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</si>
  <si>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</si>
  <si>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</si>
  <si>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</si>
  <si>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</si>
  <si>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</si>
  <si>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</si>
  <si>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</si>
  <si>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</si>
  <si>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</si>
  <si>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</si>
  <si>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</si>
  <si>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</si>
  <si>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</si>
  <si>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</si>
  <si>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</si>
  <si>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</si>
  <si>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</si>
  <si>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</si>
  <si>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</si>
  <si>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</si>
  <si>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</si>
  <si>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</si>
  <si>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</si>
  <si>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</si>
  <si>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</si>
  <si>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</si>
  <si>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</si>
  <si>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</si>
  <si>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</si>
  <si>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</si>
  <si>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</si>
  <si>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</si>
  <si>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</si>
  <si>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</si>
  <si>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</si>
  <si>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</si>
  <si>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</si>
  <si>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</si>
  <si>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</si>
  <si>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</si>
  <si>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</si>
  <si>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</si>
  <si>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</si>
  <si>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</si>
  <si>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</si>
  <si>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</si>
  <si>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</si>
  <si>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</si>
  <si>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</si>
  <si>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</si>
  <si>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</si>
  <si>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</si>
  <si>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</si>
  <si>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</si>
  <si>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</si>
  <si>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</si>
  <si>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</si>
  <si>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</si>
  <si>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</si>
  <si>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</si>
  <si>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</si>
  <si>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</si>
  <si>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</si>
  <si>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</si>
  <si>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</si>
  <si>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</si>
  <si>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</si>
  <si>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</si>
  <si>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</si>
  <si>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</si>
  <si>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</si>
  <si>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</si>
  <si>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</si>
  <si>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</si>
  <si>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</si>
  <si>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</si>
  <si>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</si>
  <si>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</si>
  <si>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</si>
  <si>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</si>
  <si>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</si>
  <si>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</si>
  <si>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</si>
  <si>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</si>
  <si>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</si>
  <si>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</si>
  <si>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</si>
  <si>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</si>
  <si>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</si>
  <si>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</si>
  <si>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</si>
  <si>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</si>
  <si>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</si>
  <si>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</si>
  <si>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</si>
  <si>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</si>
  <si>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</si>
  <si>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</si>
  <si>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</si>
  <si>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</si>
  <si>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</si>
  <si>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</si>
  <si>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</si>
  <si>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</si>
  <si>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</si>
  <si>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</si>
  <si>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</si>
  <si>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</si>
  <si>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</si>
  <si>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</si>
  <si>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</si>
  <si>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</si>
  <si>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</si>
  <si>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</si>
  <si>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</si>
  <si>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</si>
  <si>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</si>
  <si>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</si>
  <si>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</si>
  <si>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</si>
  <si>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</si>
  <si>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</si>
  <si>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</si>
  <si>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</si>
  <si>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</si>
  <si>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</si>
  <si>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</si>
  <si>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</si>
  <si>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</si>
  <si>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</si>
  <si>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</si>
  <si>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</si>
  <si>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</si>
  <si>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</si>
  <si>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</si>
  <si>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</si>
  <si>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</si>
  <si>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</si>
  <si>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</si>
  <si>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</si>
  <si>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</si>
  <si>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</si>
  <si>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</si>
  <si>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</si>
  <si>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</si>
  <si>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</si>
  <si>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</si>
  <si>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</si>
  <si>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</si>
  <si>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</si>
  <si>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</si>
  <si>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</si>
  <si>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</si>
  <si>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</si>
  <si>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</si>
  <si>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</si>
  <si>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</si>
  <si>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</si>
  <si>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</si>
  <si>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</si>
  <si>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</si>
  <si>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</si>
  <si>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</si>
  <si>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</si>
  <si>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</si>
  <si>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</si>
  <si>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</si>
  <si>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</si>
  <si>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</si>
  <si>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</si>
  <si>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</si>
  <si>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</si>
  <si>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</si>
  <si>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</si>
  <si>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</si>
  <si>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</si>
  <si>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</si>
  <si>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</si>
  <si>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</si>
  <si>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</si>
  <si>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</si>
  <si>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</si>
  <si>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</si>
  <si>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</si>
  <si>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</si>
  <si>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</si>
  <si>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</si>
  <si>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</si>
  <si>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</si>
  <si>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</si>
  <si>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</si>
  <si>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</si>
  <si>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</si>
  <si>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</si>
  <si>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</si>
  <si>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</si>
  <si>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</si>
  <si>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</si>
  <si>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</si>
  <si>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</si>
  <si>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</si>
  <si>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</si>
  <si>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</si>
  <si>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</si>
  <si>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</si>
  <si>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</si>
  <si>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</si>
  <si>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</si>
  <si>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</si>
  <si>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</si>
  <si>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</si>
  <si>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</si>
  <si>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</si>
  <si>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</si>
  <si>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</si>
  <si>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</si>
  <si>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</si>
  <si>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</si>
  <si>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</si>
  <si>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</si>
  <si>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</si>
  <si>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</si>
  <si>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</si>
  <si>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</si>
  <si>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</si>
  <si>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</si>
  <si>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</si>
  <si>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</si>
  <si>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</si>
  <si>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</si>
  <si>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</si>
  <si>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</si>
  <si>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</si>
  <si>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</si>
  <si>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</si>
  <si>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</si>
  <si>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</si>
  <si>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</si>
  <si>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</si>
  <si>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</si>
  <si>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</si>
  <si>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</si>
  <si>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</si>
  <si>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</si>
  <si>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</si>
  <si>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</si>
  <si>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</si>
  <si>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</si>
  <si>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</si>
  <si>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</si>
  <si>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</si>
  <si>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</si>
  <si>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</si>
  <si>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</si>
  <si>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</si>
  <si>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</si>
  <si>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</si>
  <si>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</si>
  <si>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</si>
  <si>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</si>
  <si>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</si>
  <si>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</si>
  <si>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</si>
  <si>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</si>
  <si>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</si>
  <si>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</si>
  <si>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</si>
  <si>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</si>
  <si>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</si>
  <si>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</si>
  <si>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</si>
  <si>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</si>
  <si>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</si>
  <si>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</si>
  <si>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</si>
  <si>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</si>
  <si>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</si>
  <si>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</si>
  <si>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</si>
  <si>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</si>
  <si>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</si>
  <si>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</si>
  <si>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</si>
  <si>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</si>
  <si>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</si>
  <si>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</si>
  <si>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</si>
  <si>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</si>
  <si>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</si>
  <si>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</si>
  <si>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</si>
  <si>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</si>
  <si>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</si>
  <si>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</si>
  <si>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</si>
  <si>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</si>
  <si>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</si>
  <si>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</si>
  <si>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</si>
  <si>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</si>
  <si>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</si>
  <si>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</si>
  <si>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</si>
  <si>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</si>
  <si>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</si>
  <si>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</si>
  <si>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</si>
  <si>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</si>
  <si>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</si>
  <si>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</si>
  <si>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</si>
  <si>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</si>
  <si>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</si>
  <si>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</si>
  <si>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</si>
  <si>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</si>
  <si>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</si>
  <si>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</si>
  <si>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</si>
  <si>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</si>
  <si>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</si>
  <si>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</si>
  <si>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</si>
  <si>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</si>
  <si>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</si>
  <si>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</si>
  <si>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</si>
  <si>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</si>
  <si>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</si>
  <si>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</si>
  <si>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</si>
  <si>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</si>
  <si>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</si>
  <si>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</si>
  <si>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</si>
  <si>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</si>
  <si>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</si>
  <si>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</si>
  <si>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</si>
  <si>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</si>
  <si>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</si>
  <si>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</si>
  <si>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</si>
  <si>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</si>
  <si>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</si>
  <si>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</si>
  <si>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</si>
  <si>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</si>
  <si>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</si>
  <si>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</si>
  <si>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</si>
  <si>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</si>
  <si>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</si>
  <si>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</si>
  <si>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</si>
  <si>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</si>
  <si>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</si>
  <si>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</si>
  <si>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</si>
  <si>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</si>
  <si>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</si>
  <si>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</si>
  <si>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</si>
  <si>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</si>
  <si>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</si>
  <si>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</si>
  <si>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</si>
  <si>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</si>
  <si>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</si>
  <si>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</si>
  <si>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</si>
  <si>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</si>
  <si>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</si>
  <si>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</si>
  <si>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</si>
  <si>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</si>
  <si>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</si>
  <si>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</si>
  <si>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</si>
  <si>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</si>
  <si>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</si>
  <si>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</si>
  <si>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</si>
  <si>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</si>
  <si>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</si>
  <si>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</si>
  <si>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</si>
  <si>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</si>
  <si>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</si>
  <si>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</si>
  <si>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</si>
  <si>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</si>
  <si>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</si>
  <si>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</si>
  <si>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</si>
  <si>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</si>
  <si>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</si>
  <si>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</si>
  <si>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</si>
  <si>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</si>
  <si>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</si>
  <si>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</si>
  <si>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</si>
  <si>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</si>
  <si>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</si>
  <si>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</si>
  <si>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</si>
  <si>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</si>
  <si>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</si>
  <si>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</si>
  <si>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</si>
  <si>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</si>
  <si>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</si>
  <si>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</si>
  <si>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</si>
  <si>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</si>
  <si>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</si>
  <si>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</si>
  <si>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</si>
  <si>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</si>
  <si>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</si>
  <si>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</si>
  <si>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</si>
  <si>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</si>
  <si>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</si>
  <si>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</si>
  <si>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</si>
  <si>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</si>
  <si>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</si>
  <si>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</si>
  <si>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</si>
  <si>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</si>
  <si>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</si>
  <si>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</si>
  <si>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</si>
  <si>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</si>
  <si>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</si>
  <si>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</si>
  <si>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</si>
  <si>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</si>
  <si>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</si>
  <si>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</si>
  <si>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</si>
  <si>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</si>
  <si>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</si>
  <si>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</si>
  <si>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</si>
  <si>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</si>
  <si>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</si>
  <si>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</si>
  <si>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</si>
  <si>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</si>
  <si>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</si>
  <si>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</si>
  <si>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</si>
  <si>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</si>
  <si>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</si>
  <si>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</si>
  <si>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</si>
  <si>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</si>
  <si>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</si>
  <si>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</si>
  <si>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</si>
  <si>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</si>
  <si>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</si>
  <si>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</si>
  <si>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</si>
  <si>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</si>
  <si>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</si>
  <si>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</si>
  <si>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</si>
  <si>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</si>
  <si>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</si>
  <si>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</si>
  <si>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</si>
  <si>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</si>
  <si>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</si>
  <si>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</si>
  <si>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</si>
  <si>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</si>
  <si>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</si>
  <si>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</si>
  <si>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</si>
  <si>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</si>
  <si>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</si>
  <si>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</si>
  <si>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</si>
  <si>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</si>
  <si>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</si>
  <si>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</si>
  <si>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</si>
  <si>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</si>
  <si>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</si>
  <si>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</si>
  <si>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</si>
  <si>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</si>
  <si>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</si>
  <si>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</si>
  <si>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</si>
  <si>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</si>
  <si>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</si>
  <si>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</si>
  <si>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</si>
  <si>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</si>
  <si>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</si>
  <si>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</si>
  <si>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</si>
  <si>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</si>
  <si>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</si>
  <si>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</si>
  <si>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</si>
  <si>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</si>
  <si>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</si>
  <si>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</si>
  <si>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</si>
  <si>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</si>
  <si>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</si>
  <si>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</si>
  <si>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</si>
  <si>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</si>
  <si>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</si>
  <si>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</si>
  <si>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</si>
  <si>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</si>
  <si>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</si>
  <si>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</si>
  <si>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</si>
  <si>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</si>
  <si>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</si>
  <si>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</si>
  <si>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</si>
  <si>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</si>
  <si>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</si>
  <si>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</si>
  <si>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</si>
  <si>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</si>
  <si>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</si>
  <si>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</si>
  <si>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</si>
  <si>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</si>
  <si>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</si>
  <si>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</si>
  <si>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</si>
  <si>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</si>
  <si>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</si>
  <si>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</si>
  <si>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</si>
  <si>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</si>
  <si>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</si>
  <si>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</si>
  <si>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</si>
  <si>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</si>
  <si>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</si>
  <si>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</si>
  <si>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</si>
  <si>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</si>
  <si>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</si>
  <si>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</si>
  <si>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</si>
  <si>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</si>
  <si>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</si>
  <si>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</si>
  <si>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</si>
  <si>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</si>
  <si>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</si>
  <si>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</si>
  <si>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</si>
  <si>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</si>
  <si>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</si>
  <si>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</si>
  <si>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</si>
  <si>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</si>
  <si>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</si>
  <si>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</si>
  <si>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</si>
  <si>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</si>
  <si>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</si>
  <si>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</si>
  <si>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</si>
  <si>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</si>
  <si>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</si>
  <si>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</si>
  <si>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</si>
  <si>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</si>
  <si>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</si>
  <si>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</si>
  <si>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</si>
  <si>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</si>
  <si>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</si>
  <si>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</si>
  <si>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</si>
  <si>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</si>
  <si>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</si>
  <si>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</si>
  <si>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</si>
  <si>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</si>
  <si>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</si>
  <si>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</si>
  <si>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</si>
  <si>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</si>
  <si>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</si>
  <si>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</si>
  <si>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</si>
  <si>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</si>
  <si>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</si>
  <si>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</si>
  <si>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</si>
  <si>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</si>
  <si>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</si>
  <si>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</si>
  <si>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</si>
  <si>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</si>
  <si>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</si>
  <si>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</si>
  <si>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</si>
  <si>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</si>
  <si>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</si>
  <si>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</si>
  <si>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</si>
  <si>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</si>
  <si>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</si>
  <si>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</si>
  <si>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</si>
  <si>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</si>
  <si>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</si>
  <si>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</si>
  <si>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</si>
  <si>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</si>
  <si>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</si>
  <si>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</si>
  <si>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</si>
  <si>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</si>
  <si>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</si>
  <si>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</si>
  <si>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</si>
  <si>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</si>
  <si>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</si>
  <si>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</si>
  <si>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</si>
  <si>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</si>
  <si>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</si>
  <si>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</si>
  <si>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</si>
  <si>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</si>
  <si>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</si>
  <si>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</si>
  <si>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</si>
  <si>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</si>
  <si>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</si>
  <si>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</si>
  <si>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</si>
  <si>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</si>
  <si>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</si>
  <si>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</si>
  <si>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</si>
  <si>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</si>
  <si>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</si>
  <si>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</si>
  <si>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</si>
  <si>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</si>
  <si>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</si>
  <si>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</si>
  <si>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</si>
  <si>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</si>
  <si>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</si>
  <si>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</si>
  <si>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</si>
  <si>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</si>
  <si>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</si>
  <si>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</si>
  <si>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</si>
  <si>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</si>
  <si>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</si>
  <si>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</si>
  <si>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</si>
  <si>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</si>
  <si>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</si>
  <si>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</si>
  <si>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</si>
  <si>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</si>
  <si>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</si>
  <si>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</si>
  <si>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</si>
  <si>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</si>
  <si>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</si>
  <si>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</si>
  <si>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</si>
  <si>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</si>
  <si>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</si>
  <si>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</si>
  <si>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</si>
  <si>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</si>
  <si>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</si>
  <si>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</si>
  <si>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</si>
  <si>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</si>
  <si>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</si>
  <si>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</si>
  <si>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</si>
  <si>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</si>
  <si>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</si>
  <si>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</si>
  <si>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</si>
  <si>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</si>
  <si>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</si>
  <si>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</si>
  <si>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</si>
  <si>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</si>
  <si>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</si>
  <si>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</si>
  <si>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</si>
  <si>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</si>
  <si>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</si>
  <si>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</si>
  <si>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</si>
  <si>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</si>
  <si>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</si>
  <si>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</si>
  <si>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</si>
  <si>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</si>
  <si>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</si>
  <si>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</si>
  <si>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</si>
  <si>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</si>
  <si>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</si>
  <si>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</si>
  <si>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</si>
  <si>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</si>
  <si>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</si>
  <si>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</si>
  <si>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</si>
  <si>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</si>
  <si>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</si>
  <si>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</si>
  <si>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</si>
  <si>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</si>
  <si>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</si>
  <si>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</si>
  <si>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</si>
  <si>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</si>
  <si>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</si>
  <si>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</si>
  <si>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</si>
  <si>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</si>
  <si>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</si>
  <si>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</si>
  <si>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</si>
  <si>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</si>
  <si>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</si>
  <si>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</si>
  <si>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</si>
  <si>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</si>
  <si>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</si>
  <si>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</si>
  <si>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</si>
  <si>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</si>
  <si>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</si>
  <si>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</si>
  <si>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</si>
  <si>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</si>
  <si>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</si>
  <si>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</si>
  <si>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</si>
  <si>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</si>
  <si>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</si>
  <si>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</si>
  <si>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</si>
  <si>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</si>
  <si>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</si>
  <si>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</si>
  <si>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</si>
  <si>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</si>
  <si>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</si>
  <si>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</si>
  <si>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</si>
  <si>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</si>
  <si>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</si>
  <si>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</si>
  <si>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</si>
  <si>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</si>
  <si>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</si>
  <si>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</si>
  <si>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</si>
  <si>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</si>
  <si>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</si>
  <si>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</si>
  <si>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</si>
  <si>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</si>
  <si>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</si>
  <si>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</si>
  <si>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</si>
  <si>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</si>
  <si>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</si>
  <si>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</si>
  <si>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</si>
  <si>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</si>
  <si>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</si>
  <si>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</si>
  <si>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</si>
  <si>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</si>
  <si>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</si>
  <si>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</si>
  <si>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</si>
  <si>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</si>
  <si>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</si>
  <si>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</si>
  <si>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</si>
  <si>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</si>
  <si>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</si>
  <si>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</si>
  <si>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</si>
  <si>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</si>
  <si>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</si>
  <si>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</si>
  <si>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</si>
  <si>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</si>
  <si>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</si>
  <si>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</si>
  <si>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</si>
  <si>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</si>
  <si>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</si>
  <si>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</si>
  <si>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</si>
  <si>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</si>
  <si>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</si>
  <si>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</si>
  <si>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</si>
  <si>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</si>
  <si>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</si>
  <si>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</si>
  <si>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</si>
  <si>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</si>
  <si>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</si>
  <si>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</si>
  <si>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</si>
  <si>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</si>
  <si>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</si>
  <si>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</si>
  <si>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</si>
  <si>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</si>
  <si>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</si>
  <si>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</si>
  <si>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</si>
  <si>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</si>
  <si>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</si>
  <si>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</si>
  <si>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</si>
  <si>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</si>
  <si>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</si>
  <si>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</si>
  <si>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</si>
  <si>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</si>
  <si>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</si>
  <si>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</si>
  <si>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</si>
  <si>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</si>
  <si>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</si>
  <si>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</si>
  <si>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</si>
  <si>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</si>
  <si>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</si>
  <si>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</si>
  <si>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</si>
  <si>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</si>
  <si>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</si>
  <si>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</si>
  <si>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</si>
  <si>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</si>
  <si>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</si>
  <si>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</si>
  <si>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</si>
  <si>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</si>
  <si>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</si>
  <si>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</si>
  <si>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</si>
  <si>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</si>
  <si>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</si>
  <si>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</si>
  <si>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</si>
  <si>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</si>
  <si>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</si>
  <si>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</si>
  <si>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</si>
  <si>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</si>
  <si>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</si>
  <si>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</si>
  <si>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</si>
  <si>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</si>
  <si>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</si>
  <si>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</si>
  <si>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</si>
  <si>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</si>
  <si>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</si>
  <si>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</si>
  <si>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</si>
  <si>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</si>
  <si>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</si>
  <si>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</si>
  <si>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</si>
  <si>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</si>
  <si>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</si>
  <si>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</si>
  <si>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</si>
  <si>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</si>
  <si>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</si>
  <si>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</si>
  <si>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</si>
  <si>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</si>
  <si>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</si>
  <si>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</si>
  <si>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</si>
  <si>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</si>
  <si>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</si>
  <si>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</si>
  <si>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</si>
  <si>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</si>
  <si>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</si>
  <si>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</si>
  <si>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</si>
  <si>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</si>
  <si>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</si>
  <si>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</si>
  <si>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</si>
  <si>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</si>
  <si>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</si>
  <si>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</si>
  <si>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</si>
  <si>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</si>
  <si>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</si>
  <si>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</si>
  <si>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</si>
  <si>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</si>
  <si>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</si>
  <si>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</si>
  <si>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</si>
  <si>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</si>
  <si>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</si>
  <si>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</si>
  <si>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</si>
  <si>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</si>
  <si>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</si>
  <si>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</si>
  <si>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</si>
  <si>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</si>
  <si>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</si>
  <si>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</si>
  <si>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</si>
  <si>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</si>
  <si>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</si>
  <si>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</si>
  <si>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</si>
  <si>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</si>
  <si>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</si>
  <si>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</si>
  <si>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</si>
  <si>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</si>
  <si>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</si>
  <si>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</si>
  <si>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</si>
  <si>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</si>
  <si>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</si>
  <si>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</si>
  <si>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</si>
  <si>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</si>
  <si>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</si>
  <si>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</si>
  <si>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</si>
  <si>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</si>
  <si>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</si>
  <si>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</si>
  <si>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</si>
  <si>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</si>
  <si>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</si>
  <si>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</si>
  <si>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</si>
  <si>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</si>
  <si>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</si>
  <si>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</si>
  <si>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</si>
  <si>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</si>
  <si>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</si>
  <si>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</si>
  <si>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</si>
  <si>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</si>
  <si>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</si>
  <si>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</si>
  <si>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</si>
  <si>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</si>
  <si>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</si>
  <si>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</si>
  <si>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</si>
  <si>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</si>
  <si>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</si>
  <si>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</si>
  <si>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</si>
  <si>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</si>
  <si>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</si>
  <si>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</si>
  <si>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</si>
  <si>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</si>
  <si>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</si>
  <si>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</si>
  <si>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</si>
  <si>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</si>
  <si>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</si>
  <si>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</si>
  <si>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</si>
  <si>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</si>
  <si>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</si>
  <si>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</si>
  <si>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</si>
  <si>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</si>
  <si>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</si>
  <si>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</si>
  <si>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</si>
  <si>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</si>
  <si>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</si>
  <si>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</si>
  <si>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</si>
  <si>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</si>
  <si>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</si>
  <si>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</si>
  <si>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</si>
  <si>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</si>
  <si>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</si>
  <si>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</si>
  <si>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</si>
  <si>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</si>
  <si>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</si>
  <si>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</si>
  <si>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</si>
  <si>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</si>
  <si>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</si>
  <si>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</si>
  <si>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</si>
  <si>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</si>
  <si>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</si>
  <si>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</si>
  <si>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</si>
  <si>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</si>
  <si>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</si>
  <si>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</si>
  <si>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</si>
  <si>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</si>
  <si>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</si>
  <si>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</si>
  <si>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</si>
  <si>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</si>
  <si>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</si>
  <si>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</si>
  <si>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</si>
  <si>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</si>
  <si>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</si>
  <si>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</si>
  <si>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</si>
  <si>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</si>
  <si>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</si>
  <si>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</si>
  <si>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</si>
  <si>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</si>
  <si>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</si>
  <si>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</si>
  <si>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</si>
  <si>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</si>
  <si>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</si>
  <si>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</si>
  <si>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</si>
  <si>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</si>
  <si>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</si>
  <si>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</si>
  <si>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</si>
  <si>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</si>
  <si>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</si>
  <si>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</si>
  <si>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</si>
  <si>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</si>
  <si>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</si>
  <si>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</si>
  <si>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</si>
  <si>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</si>
  <si>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</si>
  <si>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</si>
  <si>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</si>
  <si>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</si>
  <si>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</si>
  <si>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</si>
  <si>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</si>
  <si>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</si>
  <si>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</si>
  <si>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</si>
  <si>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</si>
  <si>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</si>
  <si>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</si>
  <si>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</si>
  <si>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</si>
  <si>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</si>
  <si>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</si>
  <si>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</si>
  <si>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</si>
  <si>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</si>
  <si>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</si>
  <si>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</si>
  <si>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</si>
  <si>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</si>
  <si>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</si>
  <si>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</si>
  <si>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</si>
  <si>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</si>
  <si>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</si>
  <si>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</si>
  <si>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</si>
  <si>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</si>
  <si>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</si>
  <si>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</si>
  <si>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</si>
  <si>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</si>
  <si>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</si>
  <si>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</si>
  <si>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</si>
  <si>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</si>
  <si>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</si>
  <si>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</si>
  <si>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</si>
  <si>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</si>
  <si>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</si>
  <si>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</si>
  <si>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</si>
  <si>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</si>
  <si>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</si>
  <si>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</si>
  <si>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</si>
  <si>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</si>
  <si>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</si>
  <si>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</si>
  <si>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</si>
  <si>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</si>
  <si>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</si>
  <si>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</si>
  <si>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</si>
  <si>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</si>
  <si>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</si>
  <si>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</si>
  <si>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</si>
  <si>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</si>
  <si>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</si>
  <si>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</si>
  <si>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</si>
  <si>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</si>
  <si>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</si>
  <si>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</si>
  <si>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</si>
  <si>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</si>
  <si>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</si>
  <si>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</si>
  <si>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</si>
  <si>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</si>
  <si>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</si>
  <si>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</si>
  <si>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</si>
  <si>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</si>
  <si>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</si>
  <si>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</si>
  <si>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</si>
  <si>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</si>
  <si>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</si>
  <si>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</si>
  <si>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</si>
  <si>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</si>
  <si>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</si>
  <si>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</si>
  <si>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</si>
  <si>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</si>
  <si>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</si>
  <si>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</si>
  <si>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</si>
  <si>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</si>
  <si>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</si>
  <si>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</si>
  <si>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</si>
  <si>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</si>
  <si>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</si>
  <si>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</si>
  <si>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</si>
  <si>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</si>
  <si>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</si>
  <si>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</si>
  <si>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</si>
  <si>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</si>
  <si>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</si>
  <si>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</si>
  <si>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</si>
  <si>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</si>
  <si>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</si>
  <si>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</si>
  <si>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</si>
  <si>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</si>
  <si>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</si>
  <si>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</si>
  <si>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</si>
  <si>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</si>
  <si>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</si>
  <si>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</si>
  <si>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</si>
  <si>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</si>
  <si>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</si>
  <si>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</si>
  <si>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</si>
  <si>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</si>
  <si>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</si>
  <si>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</si>
  <si>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</si>
  <si>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</si>
  <si>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</si>
  <si>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</si>
  <si>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</si>
  <si>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</si>
  <si>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</si>
  <si>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</si>
  <si>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</si>
  <si>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</si>
  <si>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</si>
  <si>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</si>
  <si>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</si>
  <si>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</si>
  <si>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</si>
  <si>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</si>
  <si>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</si>
  <si>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</si>
  <si>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</si>
  <si>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</si>
  <si>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</si>
  <si>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</si>
  <si>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</si>
  <si>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</si>
  <si>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</si>
  <si>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</si>
  <si>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</si>
  <si>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</si>
  <si>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</si>
  <si>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</si>
  <si>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</si>
  <si>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</si>
  <si>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</si>
  <si>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</si>
  <si>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</si>
  <si>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</si>
  <si>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</si>
  <si>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</si>
  <si>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</si>
  <si>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</si>
  <si>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</si>
  <si>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</si>
  <si>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</si>
  <si>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</si>
  <si>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</si>
  <si>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</si>
  <si>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</si>
  <si>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</si>
  <si>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</si>
  <si>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</si>
  <si>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</si>
  <si>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</si>
  <si>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</si>
  <si>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</si>
  <si>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</si>
  <si>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</si>
  <si>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</si>
  <si>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</si>
  <si>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</si>
  <si>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</si>
  <si>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</si>
  <si>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</si>
  <si>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</si>
  <si>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</si>
  <si>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</si>
  <si>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</si>
  <si>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</si>
  <si>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</si>
  <si>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</si>
  <si>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</si>
  <si>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</si>
  <si>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</si>
  <si>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</si>
  <si>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</si>
  <si>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</si>
  <si>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</si>
  <si>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</si>
  <si>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</si>
  <si>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</si>
  <si>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</si>
  <si>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</si>
  <si>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</si>
  <si>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</si>
  <si>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</si>
  <si>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</si>
  <si>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</si>
  <si>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</si>
  <si>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</si>
  <si>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</si>
  <si>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</si>
  <si>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</si>
  <si>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</si>
  <si>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</si>
  <si>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</si>
  <si>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</si>
  <si>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</si>
  <si>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</si>
  <si>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</si>
  <si>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</si>
  <si>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</si>
  <si>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</si>
  <si>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</si>
  <si>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</si>
  <si>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</si>
  <si>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</si>
  <si>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</si>
  <si>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</si>
  <si>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</si>
  <si>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</si>
  <si>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</si>
  <si>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</si>
  <si>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</si>
  <si>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</si>
  <si>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</si>
  <si>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</si>
  <si>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</si>
  <si>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</si>
  <si>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</si>
  <si>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</si>
  <si>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</si>
  <si>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</si>
  <si>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</si>
  <si>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</si>
  <si>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</si>
  <si>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</si>
  <si>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</si>
  <si>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</si>
  <si>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</si>
  <si>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</si>
  <si>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</si>
  <si>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</si>
  <si>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</si>
  <si>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</si>
  <si>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</si>
  <si>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</si>
  <si>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</si>
  <si>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</si>
  <si>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</si>
  <si>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</si>
  <si>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</si>
  <si>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</si>
  <si>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</si>
  <si>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</si>
  <si>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</si>
  <si>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</si>
  <si>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</si>
  <si>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</si>
  <si>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</si>
  <si>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</si>
  <si>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</si>
  <si>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</si>
  <si>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</si>
  <si>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</si>
  <si>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</si>
  <si>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</si>
  <si>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</si>
  <si>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</si>
  <si>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</si>
  <si>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</si>
  <si>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</si>
  <si>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</si>
  <si>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</si>
  <si>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</si>
  <si>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</si>
  <si>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</si>
  <si>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</si>
  <si>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</si>
  <si>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</si>
  <si>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</si>
  <si>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</si>
  <si>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</si>
  <si>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</si>
  <si>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</si>
  <si>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</si>
  <si>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</si>
  <si>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</si>
  <si>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</si>
  <si>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</si>
  <si>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</si>
  <si>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</si>
  <si>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</si>
  <si>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</si>
  <si>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</si>
  <si>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</si>
  <si>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</si>
  <si>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</si>
  <si>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</si>
  <si>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</si>
  <si>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</si>
  <si>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</si>
  <si>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</si>
  <si>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</si>
  <si>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</si>
  <si>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</si>
  <si>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</si>
  <si>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</si>
  <si>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</si>
  <si>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</si>
  <si>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</si>
  <si>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</si>
  <si>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</si>
  <si>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</si>
  <si>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</si>
  <si>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</si>
  <si>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</si>
  <si>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</si>
  <si>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</si>
  <si>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</si>
  <si>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</si>
  <si>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</si>
  <si>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</si>
  <si>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</si>
  <si>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</si>
  <si>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</si>
  <si>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</si>
  <si>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</si>
  <si>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</si>
  <si>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</si>
  <si>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</si>
  <si>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</si>
  <si>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</si>
  <si>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</si>
  <si>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</si>
  <si>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</si>
  <si>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</si>
  <si>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</si>
  <si>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</si>
  <si>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</si>
  <si>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</si>
  <si>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</si>
  <si>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</si>
  <si>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</si>
  <si>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</si>
  <si>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</si>
  <si>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</si>
  <si>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</si>
  <si>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</si>
  <si>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</si>
  <si>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</si>
  <si>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</si>
  <si>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</si>
  <si>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</si>
  <si>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</si>
  <si>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</si>
  <si>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</si>
  <si>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</si>
  <si>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</si>
  <si>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</si>
  <si>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</si>
  <si>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</si>
  <si>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</si>
  <si>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</si>
  <si>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</si>
  <si>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</si>
  <si>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</si>
  <si>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</si>
  <si>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</si>
  <si>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</si>
  <si>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</si>
  <si>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</si>
  <si>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</si>
  <si>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</si>
  <si>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</si>
  <si>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</si>
  <si>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</si>
  <si>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</si>
  <si>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</si>
  <si>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</si>
  <si>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</si>
  <si>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</si>
  <si>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</si>
  <si>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</si>
  <si>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</si>
  <si>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</si>
  <si>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</si>
  <si>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</si>
  <si>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</si>
  <si>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</si>
  <si>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</si>
  <si>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</si>
  <si>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</si>
  <si>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</si>
  <si>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</si>
  <si>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</si>
  <si>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</si>
  <si>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</si>
  <si>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</si>
  <si>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</si>
  <si>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</si>
  <si>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</si>
  <si>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</si>
  <si>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</si>
  <si>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</si>
  <si>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</si>
  <si>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</si>
  <si>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</si>
  <si>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</si>
  <si>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</si>
  <si>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</si>
  <si>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</si>
  <si>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</si>
  <si>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</si>
  <si>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</si>
  <si>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</si>
  <si>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</si>
  <si>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</si>
  <si>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</si>
  <si>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</si>
  <si>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</si>
  <si>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</si>
  <si>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</si>
  <si>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</si>
  <si>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</si>
  <si>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</si>
  <si>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</si>
  <si>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</si>
  <si>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</si>
  <si>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</si>
  <si>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</si>
  <si>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</si>
  <si>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</si>
  <si>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</si>
  <si>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</si>
  <si>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</si>
  <si>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</si>
  <si>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</si>
  <si>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</si>
  <si>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</si>
  <si>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</si>
  <si>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</si>
  <si>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</si>
  <si>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</si>
  <si>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</si>
  <si>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</si>
  <si>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</si>
  <si>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</si>
  <si>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</si>
  <si>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</si>
  <si>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</si>
  <si>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</si>
  <si>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</si>
  <si>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</si>
  <si>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</si>
  <si>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</si>
  <si>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</si>
  <si>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</si>
  <si>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</si>
  <si>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</si>
  <si>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</si>
  <si>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</si>
  <si>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</si>
  <si>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</si>
  <si>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</si>
  <si>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</si>
  <si>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</si>
  <si>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</si>
  <si>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</si>
  <si>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</si>
  <si>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</si>
  <si>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</si>
  <si>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</si>
  <si>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</si>
  <si>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</si>
  <si>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</si>
  <si>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</si>
  <si>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</si>
  <si>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</si>
  <si>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</si>
  <si>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</si>
  <si>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</si>
  <si>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</si>
  <si>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</si>
  <si>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</si>
  <si>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</si>
  <si>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</si>
  <si>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</si>
  <si>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</si>
  <si>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</si>
  <si>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</si>
  <si>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</si>
  <si>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</si>
  <si>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</si>
  <si>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</si>
  <si>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</si>
  <si>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</si>
  <si>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</si>
  <si>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</si>
  <si>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</si>
  <si>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</si>
  <si>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</si>
  <si>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</si>
  <si>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</si>
  <si>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</si>
  <si>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</si>
  <si>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</si>
  <si>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</si>
  <si>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</si>
  <si>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</si>
  <si>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</si>
  <si>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</si>
  <si>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</si>
  <si>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</si>
  <si>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</si>
  <si>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</si>
  <si>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</si>
  <si>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</si>
  <si>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</si>
  <si>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</si>
  <si>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</si>
  <si>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</si>
  <si>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</si>
  <si>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</si>
  <si>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</si>
  <si>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</si>
  <si>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</si>
  <si>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</si>
  <si>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</si>
  <si>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</si>
  <si>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</si>
  <si>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</si>
  <si>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</si>
  <si>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</si>
  <si>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</si>
  <si>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</si>
  <si>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</si>
  <si>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</si>
  <si>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</si>
  <si>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</si>
  <si>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</si>
  <si>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</si>
  <si>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</si>
  <si>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</si>
  <si>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</si>
  <si>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</si>
  <si>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</si>
  <si>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</si>
  <si>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</si>
  <si>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</si>
  <si>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</si>
  <si>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</si>
  <si>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</si>
  <si>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</si>
  <si>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</si>
  <si>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</si>
  <si>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</si>
  <si>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</si>
  <si>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</si>
  <si>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</si>
  <si>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</si>
  <si>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</si>
  <si>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</si>
  <si>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</si>
  <si>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</si>
  <si>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</si>
  <si>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</si>
  <si>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</si>
  <si>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</si>
  <si>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</si>
  <si>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</si>
  <si>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</si>
  <si>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</si>
  <si>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</si>
  <si>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</si>
  <si>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</si>
  <si>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</si>
  <si>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</si>
  <si>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</si>
  <si>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</si>
  <si>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</si>
  <si>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</si>
  <si>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</si>
  <si>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</si>
  <si>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</si>
  <si>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</si>
  <si>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</si>
  <si>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</si>
  <si>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</si>
  <si>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</si>
  <si>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</si>
  <si>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</si>
  <si>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</si>
  <si>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</si>
  <si>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</si>
  <si>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</si>
  <si>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</si>
  <si>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</si>
  <si>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</si>
  <si>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</si>
  <si>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</si>
  <si>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</si>
  <si>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</si>
  <si>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</si>
  <si>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</si>
  <si>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</si>
  <si>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</si>
  <si>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</si>
  <si>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</si>
  <si>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</si>
  <si>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</si>
  <si>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</si>
  <si>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</si>
  <si>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</si>
  <si>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</si>
  <si>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</si>
  <si>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</si>
  <si>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</si>
  <si>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</si>
  <si>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</si>
  <si>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</si>
  <si>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</si>
  <si>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</si>
  <si>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</si>
  <si>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</si>
  <si>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</si>
  <si>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</si>
  <si>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</si>
  <si>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</si>
  <si>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</si>
  <si>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</si>
  <si>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</si>
  <si>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</si>
  <si>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</si>
  <si>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</si>
  <si>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</si>
  <si>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</si>
  <si>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</si>
  <si>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</si>
  <si>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</si>
  <si>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</si>
  <si>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</si>
  <si>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</si>
  <si>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</si>
  <si>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</si>
  <si>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</si>
  <si>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</si>
  <si>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</si>
  <si>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</si>
  <si>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</si>
  <si>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</si>
  <si>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</si>
  <si>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</si>
  <si>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</si>
  <si>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</si>
  <si>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</si>
  <si>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</si>
  <si>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</si>
  <si>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</si>
  <si>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</si>
  <si>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</si>
  <si>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</si>
  <si>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</si>
  <si>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</si>
  <si>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</si>
  <si>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</si>
  <si>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</si>
  <si>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</si>
  <si>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</si>
  <si>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</si>
  <si>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</si>
  <si>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</si>
  <si>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</si>
  <si>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</si>
  <si>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</si>
  <si>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</si>
  <si>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</si>
  <si>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</si>
  <si>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</si>
  <si>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</si>
  <si>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</si>
  <si>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</si>
  <si>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</si>
  <si>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</si>
  <si>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</si>
  <si>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</si>
  <si>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</si>
  <si>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</si>
  <si>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</si>
  <si>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</si>
  <si>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</si>
  <si>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</si>
  <si>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</si>
  <si>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</si>
  <si>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</si>
  <si>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</si>
  <si>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</si>
  <si>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</si>
  <si>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</si>
  <si>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</si>
  <si>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</si>
  <si>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</si>
  <si>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</si>
  <si>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</si>
  <si>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</si>
  <si>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</si>
  <si>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</si>
  <si>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</si>
  <si>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</si>
  <si>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</si>
  <si>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</si>
  <si>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</si>
  <si>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</si>
  <si>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</si>
  <si>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</si>
  <si>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</si>
  <si>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</si>
  <si>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</si>
  <si>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</si>
  <si>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</si>
  <si>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</si>
  <si>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</si>
  <si>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</si>
  <si>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</si>
  <si>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</si>
  <si>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</si>
  <si>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</si>
  <si>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</si>
  <si>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</si>
  <si>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</si>
  <si>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</si>
  <si>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</si>
  <si>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</si>
  <si>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</si>
  <si>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</si>
  <si>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</si>
  <si>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</si>
  <si>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</si>
  <si>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</si>
  <si>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</si>
  <si>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</si>
  <si>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</si>
  <si>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</si>
  <si>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</si>
  <si>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</si>
  <si>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</si>
  <si>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</si>
  <si>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</si>
  <si>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</si>
  <si>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</si>
  <si>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</si>
  <si>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</si>
  <si>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</si>
  <si>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</si>
  <si>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</si>
  <si>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</si>
  <si>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</si>
  <si>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</si>
  <si>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</si>
  <si>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</si>
  <si>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</si>
  <si>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</si>
  <si>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</si>
  <si>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</si>
  <si>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</si>
  <si>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</si>
  <si>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</si>
  <si>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</si>
  <si>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</si>
  <si>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</si>
  <si>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</si>
  <si>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</si>
  <si>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</si>
  <si>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</si>
  <si>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</si>
  <si>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</si>
  <si>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</si>
  <si>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</si>
  <si>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</si>
  <si>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</si>
  <si>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</si>
  <si>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</si>
  <si>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</si>
  <si>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</si>
  <si>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</si>
  <si>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</si>
  <si>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</si>
  <si>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</si>
  <si>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</si>
  <si>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</si>
  <si>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</si>
  <si>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</si>
  <si>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</si>
  <si>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</si>
  <si>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</si>
  <si>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</si>
  <si>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</si>
  <si>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</si>
  <si>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</si>
  <si>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</si>
  <si>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</si>
  <si>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</si>
  <si>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</si>
  <si>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</si>
  <si>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</si>
  <si>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</si>
  <si>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</si>
  <si>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</si>
  <si>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</si>
  <si>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</si>
  <si>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</si>
  <si>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</si>
  <si>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</si>
  <si>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</si>
  <si>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</si>
  <si>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</si>
  <si>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</si>
  <si>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</si>
  <si>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</si>
  <si>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</si>
  <si>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</si>
  <si>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</si>
  <si>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</si>
  <si>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</si>
  <si>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</si>
  <si>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</si>
  <si>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</si>
  <si>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</si>
  <si>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</si>
  <si>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</si>
  <si>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</si>
  <si>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</si>
  <si>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</si>
  <si>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</si>
  <si>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</si>
  <si>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</si>
  <si>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</si>
  <si>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</si>
  <si>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</si>
  <si>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</si>
  <si>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</si>
  <si>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</si>
  <si>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</si>
  <si>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</si>
  <si>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</si>
  <si>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</si>
  <si>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</si>
  <si>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</si>
  <si>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</si>
  <si>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</si>
  <si>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</si>
  <si>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</si>
  <si>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</si>
  <si>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</si>
  <si>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</si>
  <si>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</si>
  <si>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</si>
  <si>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</si>
  <si>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</si>
  <si>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</si>
  <si>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</si>
  <si>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</si>
  <si>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</si>
  <si>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</si>
  <si>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</si>
  <si>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</si>
  <si>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</si>
  <si>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</si>
  <si>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</si>
  <si>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</si>
  <si>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</si>
  <si>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</si>
  <si>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</si>
  <si>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</si>
  <si>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</si>
  <si>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</si>
  <si>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</si>
  <si>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</si>
  <si>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</si>
  <si>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</si>
  <si>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</si>
  <si>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</si>
  <si>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</si>
  <si>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</si>
  <si>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</si>
  <si>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</si>
  <si>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</si>
  <si>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</si>
  <si>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</si>
  <si>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</si>
  <si>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</si>
  <si>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</si>
  <si>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</si>
  <si>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</si>
  <si>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</si>
  <si>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</si>
  <si>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</si>
  <si>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</si>
  <si>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</si>
  <si>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</si>
  <si>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</si>
  <si>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</si>
  <si>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</si>
  <si>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</si>
  <si>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</si>
  <si>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</si>
  <si>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</si>
  <si>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</si>
  <si>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</si>
  <si>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</si>
  <si>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</si>
  <si>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</si>
  <si>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</si>
  <si>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</si>
  <si>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</si>
  <si>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</si>
  <si>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</si>
  <si>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</si>
  <si>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</si>
  <si>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</si>
  <si>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</si>
  <si>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</si>
  <si>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</si>
  <si>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</si>
  <si>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</si>
  <si>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</si>
  <si>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</si>
  <si>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</si>
  <si>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</si>
  <si>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</si>
  <si>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</si>
  <si>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</si>
  <si>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</si>
  <si>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</si>
  <si>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</si>
  <si>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</si>
  <si>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</si>
  <si>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</si>
  <si>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</si>
  <si>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</si>
  <si>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</si>
  <si>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</si>
  <si>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</si>
  <si>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</si>
  <si>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</si>
  <si>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</si>
  <si>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</si>
  <si>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</si>
  <si>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</si>
  <si>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</si>
  <si>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</si>
  <si>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</si>
  <si>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</si>
  <si>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</si>
  <si>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</si>
  <si>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</si>
  <si>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</si>
  <si>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</si>
  <si>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</si>
  <si>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</si>
  <si>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</si>
  <si>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</si>
  <si>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</si>
  <si>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</si>
  <si>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</si>
  <si>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</si>
  <si>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</si>
  <si>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</si>
  <si>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</si>
  <si>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</si>
  <si>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</si>
  <si>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</si>
  <si>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</si>
  <si>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</si>
  <si>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</si>
  <si>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</si>
  <si>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</si>
  <si>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</si>
  <si>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</si>
  <si>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</si>
  <si>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</si>
  <si>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</si>
  <si>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</si>
  <si>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</si>
  <si>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</si>
  <si>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</si>
  <si>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</si>
  <si>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</si>
  <si>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</si>
  <si>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</si>
  <si>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</si>
  <si>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</si>
  <si>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</si>
  <si>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</si>
  <si>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</si>
  <si>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</si>
  <si>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</si>
  <si>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</si>
  <si>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</si>
  <si>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</si>
  <si>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</si>
  <si>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</si>
  <si>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</si>
  <si>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</si>
  <si>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</si>
  <si>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</si>
  <si>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</si>
  <si>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</si>
  <si>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</si>
  <si>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</si>
  <si>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</si>
  <si>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</si>
  <si>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</si>
  <si>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</si>
  <si>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</si>
  <si>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</si>
  <si>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</si>
  <si>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</si>
  <si>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</si>
  <si>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</si>
  <si>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</si>
  <si>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</si>
  <si>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</si>
  <si>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</si>
  <si>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</si>
  <si>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</si>
  <si>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</si>
  <si>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</si>
  <si>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</si>
  <si>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</si>
  <si>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</si>
  <si>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</si>
  <si>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</si>
  <si>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</si>
  <si>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</si>
  <si>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</si>
  <si>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</si>
  <si>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</si>
  <si>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</si>
  <si>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</si>
  <si>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</si>
  <si>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</si>
  <si>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</si>
  <si>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</si>
  <si>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</si>
  <si>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</si>
  <si>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</si>
  <si>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</si>
  <si>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</si>
  <si>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</si>
  <si>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</si>
  <si>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</si>
  <si>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</si>
  <si>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</si>
  <si>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</si>
  <si>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</si>
  <si>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</si>
  <si>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</si>
  <si>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</si>
  <si>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</si>
  <si>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</si>
  <si>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</si>
  <si>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</si>
  <si>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</si>
  <si>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</si>
  <si>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</si>
  <si>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</si>
  <si>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</si>
  <si>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</si>
  <si>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</si>
  <si>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</si>
  <si>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</si>
  <si>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</si>
  <si>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</si>
  <si>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</si>
  <si>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</si>
  <si>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</si>
  <si>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</si>
  <si>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</si>
  <si>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</si>
  <si>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</si>
  <si>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</si>
  <si>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</si>
  <si>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</si>
  <si>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</si>
  <si>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</si>
  <si>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</si>
  <si>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</si>
  <si>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</si>
  <si>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</si>
  <si>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</si>
  <si>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</si>
  <si>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</si>
  <si>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</si>
  <si>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</si>
  <si>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</si>
  <si>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</si>
  <si>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</si>
  <si>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</si>
  <si>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</si>
  <si>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</si>
  <si>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</si>
  <si>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</si>
  <si>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</si>
  <si>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</si>
  <si>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</si>
  <si>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</si>
  <si>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</si>
  <si>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</si>
  <si>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</si>
  <si>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</si>
  <si>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</si>
  <si>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</si>
  <si>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</si>
  <si>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</si>
  <si>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</si>
  <si>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</si>
  <si>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</si>
  <si>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</si>
  <si>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</si>
  <si>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</si>
  <si>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</si>
  <si>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</si>
  <si>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</si>
  <si>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</si>
  <si>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</si>
  <si>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</si>
  <si>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</si>
  <si>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</si>
  <si>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</si>
  <si>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</si>
  <si>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</si>
  <si>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</si>
  <si>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</si>
  <si>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</si>
  <si>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</si>
  <si>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</si>
  <si>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</si>
  <si>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</si>
  <si>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</si>
  <si>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</si>
  <si>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</si>
  <si>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</si>
  <si>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</si>
  <si>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</si>
  <si>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</si>
  <si>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</si>
  <si>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</si>
  <si>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</si>
  <si>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</si>
  <si>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</si>
  <si>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</si>
  <si>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</si>
  <si>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</si>
  <si>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</si>
  <si>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</si>
  <si>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</si>
  <si>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</si>
  <si>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</si>
  <si>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</si>
  <si>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</si>
  <si>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</si>
  <si>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</si>
  <si>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</si>
  <si>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</si>
  <si>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</si>
  <si>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</si>
  <si>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</si>
  <si>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</si>
  <si>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</si>
  <si>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</si>
  <si>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</si>
  <si>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</si>
  <si>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</si>
  <si>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</si>
  <si>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</si>
  <si>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</si>
  <si>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</si>
  <si>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</si>
  <si>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</si>
  <si>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</si>
  <si>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</si>
  <si>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</si>
  <si>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</si>
  <si>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</si>
  <si>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</si>
  <si>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</si>
  <si>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</si>
  <si>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</si>
  <si>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</si>
  <si>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</si>
  <si>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</si>
  <si>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</si>
  <si>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</si>
  <si>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</si>
  <si>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</si>
  <si>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</si>
  <si>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</si>
  <si>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</si>
  <si>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</si>
  <si>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</si>
  <si>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</si>
  <si>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</si>
  <si>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</si>
  <si>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</si>
  <si>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</si>
  <si>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</si>
  <si>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</si>
  <si>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</si>
  <si>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</si>
  <si>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</si>
  <si>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</si>
  <si>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</si>
  <si>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</si>
  <si>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</si>
  <si>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</si>
  <si>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</si>
  <si>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</si>
  <si>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</si>
  <si>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</si>
  <si>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</si>
  <si>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</si>
  <si>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</si>
  <si>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</si>
  <si>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</si>
  <si>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</si>
  <si>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</si>
  <si>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</si>
  <si>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</si>
  <si>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</si>
  <si>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</si>
  <si>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</si>
  <si>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</si>
  <si>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</si>
  <si>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</si>
  <si>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</si>
  <si>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</si>
  <si>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</si>
  <si>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</si>
  <si>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</si>
  <si>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</si>
  <si>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</si>
  <si>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</si>
  <si>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</si>
  <si>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</si>
  <si>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</si>
  <si>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</si>
  <si>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</si>
  <si>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</si>
  <si>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</si>
  <si>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</si>
  <si>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</si>
  <si>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</si>
  <si>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</si>
  <si>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</si>
  <si>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</si>
  <si>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</si>
  <si>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</si>
  <si>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</si>
  <si>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</si>
  <si>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</si>
  <si>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</si>
  <si>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</si>
  <si>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</si>
  <si>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</si>
  <si>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</si>
  <si>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</si>
  <si>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</si>
  <si>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</si>
  <si>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</si>
  <si>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</si>
  <si>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</si>
  <si>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</si>
  <si>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</si>
  <si>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</si>
  <si>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</si>
  <si>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</si>
  <si>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</si>
  <si>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</si>
  <si>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</si>
  <si>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</si>
  <si>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</si>
  <si>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</si>
  <si>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</si>
  <si>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</si>
  <si>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</si>
  <si>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</si>
  <si>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</si>
  <si>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</si>
  <si>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</si>
  <si>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</si>
  <si>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</si>
  <si>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</si>
  <si>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</si>
  <si>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</si>
  <si>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</si>
  <si>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</si>
  <si>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</si>
  <si>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</si>
  <si>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</si>
  <si>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</si>
  <si>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</si>
  <si>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</si>
  <si>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</si>
  <si>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</si>
  <si>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</si>
  <si>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</si>
  <si>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</si>
  <si>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</si>
  <si>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</si>
  <si>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</si>
  <si>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</si>
  <si>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</si>
  <si>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</si>
  <si>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</si>
  <si>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</si>
  <si>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</si>
  <si>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</si>
  <si>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</si>
  <si>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</si>
  <si>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</si>
  <si>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</si>
  <si>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</si>
  <si>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</si>
  <si>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</si>
  <si>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</si>
  <si>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</si>
  <si>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</si>
  <si>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</si>
  <si>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</si>
  <si>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</si>
  <si>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</si>
  <si>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</si>
  <si>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</si>
  <si>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</si>
  <si>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</si>
  <si>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</si>
  <si>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</si>
  <si>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</si>
  <si>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</si>
  <si>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</si>
  <si>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</si>
  <si>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</si>
  <si>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</si>
  <si>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</si>
  <si>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</si>
  <si>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</si>
  <si>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</si>
  <si>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</si>
  <si>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</si>
  <si>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</si>
  <si>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</si>
  <si>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</si>
  <si>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</si>
  <si>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</si>
  <si>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</si>
  <si>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</si>
  <si>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</si>
  <si>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</si>
  <si>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</si>
  <si>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</si>
  <si>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</si>
  <si>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</si>
  <si>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</si>
  <si>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</si>
  <si>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</si>
  <si>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</si>
  <si>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</si>
  <si>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</si>
  <si>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</si>
  <si>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</si>
  <si>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</si>
  <si>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</si>
  <si>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</si>
  <si>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</si>
  <si>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</si>
  <si>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</si>
  <si>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</si>
  <si>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</si>
  <si>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</si>
  <si>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</si>
  <si>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</si>
  <si>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</si>
  <si>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</si>
  <si>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</si>
  <si>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</si>
  <si>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</si>
  <si>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</si>
  <si>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</si>
  <si>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</si>
  <si>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</si>
  <si>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</si>
  <si>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</si>
  <si>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</si>
  <si>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</si>
  <si>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</si>
  <si>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</si>
  <si>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</si>
  <si>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</si>
  <si>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</si>
  <si>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</si>
  <si>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</si>
  <si>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</si>
  <si>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</si>
  <si>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</si>
  <si>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</si>
  <si>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</si>
  <si>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</si>
  <si>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</si>
  <si>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</si>
  <si>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</si>
  <si>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</si>
  <si>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</si>
  <si>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</si>
  <si>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</si>
  <si>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</si>
  <si>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</si>
  <si>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</si>
  <si>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</si>
  <si>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</si>
  <si>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</si>
  <si>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</si>
  <si>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</si>
  <si>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</si>
  <si>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</si>
  <si>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</si>
  <si>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</si>
  <si>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</si>
  <si>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</si>
  <si>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</si>
  <si>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</si>
  <si>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</si>
  <si>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</si>
  <si>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</si>
  <si>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</si>
  <si>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</si>
  <si>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</si>
  <si>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</si>
  <si>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</si>
  <si>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</si>
  <si>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</si>
  <si>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</si>
  <si>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</si>
  <si>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</si>
  <si>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</si>
  <si>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</si>
  <si>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</si>
  <si>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</si>
  <si>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</si>
  <si>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</si>
  <si>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</si>
  <si>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</si>
  <si>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</si>
  <si>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</si>
  <si>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</si>
  <si>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</si>
  <si>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</si>
  <si>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</si>
  <si>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</si>
  <si>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</si>
  <si>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</si>
  <si>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</si>
  <si>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</si>
  <si>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</si>
  <si>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</si>
  <si>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</si>
  <si>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</si>
  <si>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</si>
  <si>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</si>
  <si>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</si>
  <si>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</si>
  <si>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</si>
  <si>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</si>
  <si>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</si>
  <si>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</si>
  <si>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</si>
  <si>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</si>
  <si>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</si>
  <si>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</si>
  <si>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</si>
  <si>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</si>
  <si>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</si>
  <si>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</si>
  <si>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</si>
  <si>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</si>
  <si>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</si>
  <si>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</si>
  <si>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</si>
  <si>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</si>
  <si>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</si>
  <si>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</si>
  <si>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</si>
  <si>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</si>
  <si>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</si>
  <si>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</si>
  <si>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</si>
  <si>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</si>
  <si>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</si>
  <si>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</si>
  <si>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</si>
  <si>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</si>
  <si>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</si>
  <si>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</si>
  <si>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</si>
  <si>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</si>
  <si>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</si>
  <si>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</si>
  <si>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</si>
  <si>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</si>
  <si>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</si>
  <si>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</si>
  <si>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</si>
  <si>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</si>
  <si>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</si>
  <si>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</si>
  <si>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</si>
  <si>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</si>
  <si>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</si>
  <si>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</si>
  <si>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</si>
  <si>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</si>
  <si>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</si>
  <si>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</si>
  <si>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</si>
  <si>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</si>
  <si>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</si>
  <si>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</si>
  <si>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</si>
  <si>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</si>
  <si>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</si>
  <si>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</si>
  <si>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</si>
  <si>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</si>
  <si>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</si>
  <si>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</si>
  <si>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</si>
  <si>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</si>
  <si>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</si>
  <si>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</si>
  <si>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</si>
  <si>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</si>
  <si>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</si>
  <si>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</si>
  <si>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</si>
  <si>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</si>
  <si>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</si>
  <si>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</si>
  <si>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</si>
  <si>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</si>
  <si>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</si>
  <si>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</si>
  <si>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</si>
  <si>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</si>
  <si>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</si>
  <si>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</si>
  <si>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</si>
  <si>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</si>
  <si>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</si>
  <si>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</si>
  <si>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</si>
  <si>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</si>
  <si>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</si>
  <si>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</si>
  <si>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</si>
  <si>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</si>
  <si>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</si>
  <si>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</si>
  <si>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</si>
  <si>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</si>
  <si>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</si>
  <si>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</si>
  <si>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</si>
  <si>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</si>
  <si>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</si>
  <si>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</si>
  <si>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</si>
  <si>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</si>
  <si>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</si>
  <si>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</si>
  <si>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</si>
  <si>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</si>
  <si>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</si>
  <si>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</si>
  <si>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</si>
  <si>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</si>
  <si>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</si>
  <si>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</si>
  <si>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</si>
  <si>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</si>
  <si>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</si>
  <si>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</si>
  <si>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</si>
  <si>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</si>
  <si>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</si>
  <si>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</si>
  <si>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</si>
  <si>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</si>
  <si>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</si>
  <si>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</si>
  <si>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</si>
  <si>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</si>
  <si>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</si>
  <si>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</si>
  <si>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</si>
  <si>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</si>
  <si>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</si>
  <si>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</si>
  <si>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</si>
  <si>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</si>
  <si>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</si>
  <si>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</si>
  <si>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</si>
  <si>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</si>
  <si>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</si>
  <si>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</si>
  <si>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</si>
  <si>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</si>
  <si>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</si>
  <si>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</si>
  <si>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</si>
  <si>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</si>
  <si>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</si>
  <si>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</si>
  <si>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</si>
  <si>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</si>
  <si>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</si>
  <si>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</si>
  <si>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</si>
  <si>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</si>
  <si>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</si>
  <si>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</si>
  <si>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</si>
  <si>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</si>
  <si>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</si>
  <si>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</si>
  <si>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</si>
  <si>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</si>
  <si>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</si>
  <si>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</si>
  <si>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</si>
  <si>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</si>
  <si>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</si>
  <si>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</si>
  <si>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</si>
  <si>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</si>
  <si>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</si>
  <si>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</si>
  <si>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</si>
  <si>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</si>
  <si>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</si>
  <si>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</si>
  <si>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</si>
  <si>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</si>
  <si>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</si>
  <si>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</si>
  <si>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</si>
  <si>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</si>
  <si>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</si>
  <si>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</si>
  <si>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</si>
  <si>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</si>
  <si>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</si>
  <si>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</si>
  <si>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</si>
  <si>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</si>
  <si>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</si>
  <si>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</si>
  <si>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</si>
  <si>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</si>
  <si>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</si>
  <si>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</si>
  <si>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</si>
  <si>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</si>
  <si>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</si>
  <si>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</si>
  <si>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</si>
  <si>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</si>
  <si>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</si>
  <si>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</si>
  <si>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</si>
  <si>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</si>
  <si>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</si>
  <si>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</si>
  <si>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</si>
  <si>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</si>
  <si>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</si>
  <si>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</si>
  <si>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</si>
  <si>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</si>
  <si>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</si>
  <si>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</si>
  <si>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</si>
  <si>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</si>
  <si>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</si>
  <si>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</si>
  <si>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</si>
  <si>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</si>
  <si>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</si>
  <si>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</si>
  <si>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</si>
  <si>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</si>
  <si>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</si>
  <si>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</si>
  <si>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</si>
  <si>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</si>
  <si>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</si>
  <si>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</si>
  <si>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</si>
  <si>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</si>
  <si>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</si>
  <si>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</si>
  <si>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</si>
  <si>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</si>
  <si>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</si>
  <si>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</si>
  <si>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</si>
  <si>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</si>
  <si>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</si>
  <si>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</si>
  <si>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</si>
  <si>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</si>
  <si>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</si>
  <si>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</si>
  <si>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</si>
  <si>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</si>
  <si>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</si>
  <si>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</si>
  <si>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</si>
  <si>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</si>
  <si>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</si>
  <si>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</si>
  <si>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</si>
  <si>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</si>
  <si>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</si>
  <si>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</si>
  <si>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</si>
  <si>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</si>
  <si>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</si>
  <si>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</si>
  <si>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</si>
  <si>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</si>
  <si>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</si>
  <si>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</si>
  <si>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</si>
  <si>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</si>
  <si>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</si>
  <si>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</si>
  <si>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</si>
  <si>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</si>
  <si>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</si>
  <si>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</si>
  <si>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</si>
  <si>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</si>
  <si>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</si>
  <si>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</si>
  <si>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</si>
  <si>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</si>
  <si>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</si>
  <si>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</si>
  <si>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</si>
  <si>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</si>
  <si>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</si>
  <si>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</si>
  <si>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</si>
  <si>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</si>
  <si>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</si>
  <si>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</si>
  <si>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</si>
  <si>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</si>
  <si>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</si>
  <si>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</si>
  <si>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</si>
  <si>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</si>
  <si>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</si>
  <si>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</si>
  <si>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</si>
  <si>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</si>
  <si>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</si>
  <si>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</si>
  <si>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</si>
  <si>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</si>
  <si>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</si>
  <si>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</si>
  <si>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</si>
  <si>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</si>
  <si>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</si>
  <si>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</si>
  <si>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</si>
  <si>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</si>
  <si>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</si>
  <si>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</si>
  <si>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</si>
  <si>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</si>
  <si>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</si>
  <si>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</si>
  <si>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</si>
  <si>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</si>
  <si>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</si>
  <si>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</si>
  <si>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</si>
  <si>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</si>
  <si>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</si>
  <si>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</si>
  <si>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</si>
  <si>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</si>
  <si>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</si>
  <si>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</si>
  <si>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</si>
  <si>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</si>
  <si>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</si>
  <si>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</si>
  <si>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</si>
  <si>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</si>
  <si>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</si>
  <si>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</si>
  <si>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</si>
  <si>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</si>
  <si>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</si>
  <si>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</si>
  <si>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</si>
  <si>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</si>
  <si>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</si>
  <si>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</si>
  <si>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</si>
  <si>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</si>
  <si>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</si>
  <si>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</si>
  <si>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</si>
  <si>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</si>
  <si>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</si>
  <si>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</si>
  <si>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</si>
  <si>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</si>
  <si>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</si>
  <si>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</si>
  <si>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</si>
  <si>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</si>
  <si>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</si>
  <si>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</si>
  <si>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</si>
  <si>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</si>
  <si>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</si>
  <si>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</si>
  <si>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</si>
  <si>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</si>
  <si>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</si>
  <si>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</si>
  <si>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</si>
  <si>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</si>
  <si>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</si>
  <si>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</si>
  <si>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</si>
  <si>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</si>
  <si>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</si>
  <si>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</si>
  <si>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</si>
  <si>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</si>
  <si>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</si>
  <si>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</si>
  <si>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</si>
  <si>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</si>
  <si>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</si>
  <si>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</si>
  <si>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</si>
  <si>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</si>
  <si>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</si>
  <si>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</si>
  <si>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</si>
  <si>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</si>
  <si>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</si>
  <si>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</si>
  <si>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</si>
  <si>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</si>
  <si>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</si>
  <si>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</si>
  <si>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</si>
  <si>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</si>
  <si>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</si>
  <si>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</si>
  <si>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</si>
  <si>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</si>
  <si>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</si>
  <si>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</si>
  <si>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</si>
  <si>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</si>
  <si>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</si>
  <si>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</si>
  <si>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</si>
  <si>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</si>
  <si>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</si>
  <si>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</si>
  <si>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</si>
  <si>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</si>
  <si>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</si>
  <si>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</si>
  <si>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</si>
  <si>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</si>
  <si>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</si>
  <si>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</si>
  <si>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</si>
  <si>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</si>
  <si>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</si>
  <si>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</si>
  <si>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</si>
  <si>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</si>
  <si>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</si>
  <si>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</si>
  <si>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</si>
  <si>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</si>
  <si>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</si>
  <si>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</si>
  <si>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</si>
  <si>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</si>
  <si>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</si>
  <si>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</si>
  <si>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</si>
  <si>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</si>
  <si>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</si>
  <si>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</si>
  <si>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</si>
  <si>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</si>
  <si>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</si>
  <si>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</si>
  <si>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</si>
  <si>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</si>
  <si>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</si>
  <si>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</si>
  <si>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</si>
  <si>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</si>
  <si>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</si>
  <si>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</si>
  <si>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</si>
  <si>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</si>
  <si>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</si>
  <si>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</si>
  <si>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</si>
  <si>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</si>
  <si>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</si>
  <si>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</si>
  <si>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</si>
  <si>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</si>
  <si>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</si>
  <si>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</si>
  <si>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</si>
  <si>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</si>
  <si>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</si>
  <si>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</si>
  <si>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</si>
  <si>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</si>
  <si>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</si>
  <si>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</si>
  <si>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</si>
  <si>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</si>
  <si>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</si>
  <si>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</si>
  <si>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</si>
  <si>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</si>
  <si>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</si>
  <si>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</si>
  <si>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</si>
  <si>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</si>
  <si>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</si>
  <si>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</si>
  <si>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</si>
  <si>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</si>
  <si>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</si>
  <si>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</si>
  <si>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</si>
  <si>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</si>
  <si>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</si>
  <si>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</si>
  <si>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</si>
  <si>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</si>
  <si>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</si>
  <si>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</si>
  <si>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</si>
  <si>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</si>
  <si>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</si>
  <si>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</si>
  <si>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</si>
  <si>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</si>
  <si>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</si>
  <si>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</si>
  <si>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</si>
  <si>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</si>
  <si>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</si>
  <si>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</si>
  <si>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</si>
  <si>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</si>
  <si>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</si>
  <si>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</si>
  <si>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</si>
  <si>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</si>
  <si>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</si>
  <si>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</si>
  <si>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</si>
  <si>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</si>
  <si>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</si>
  <si>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</si>
  <si>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</si>
  <si>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</si>
  <si>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</si>
  <si>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</si>
  <si>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</si>
  <si>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</si>
  <si>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</si>
  <si>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</si>
  <si>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</si>
  <si>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</si>
  <si>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</si>
  <si>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</si>
  <si>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</si>
  <si>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</si>
  <si>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</si>
  <si>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</si>
  <si>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</si>
  <si>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</si>
  <si>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</si>
  <si>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</si>
  <si>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</si>
  <si>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</si>
  <si>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</si>
  <si>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</si>
  <si>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</si>
  <si>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</si>
  <si>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</si>
  <si>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</si>
  <si>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</si>
  <si>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</si>
  <si>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</si>
  <si>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</si>
  <si>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</si>
  <si>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</si>
  <si>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</si>
  <si>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</si>
  <si>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</si>
  <si>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</si>
  <si>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</si>
  <si>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</si>
  <si>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</si>
  <si>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</si>
  <si>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</si>
  <si>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</si>
  <si>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</si>
  <si>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</si>
  <si>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</si>
  <si>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</si>
  <si>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</si>
  <si>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</si>
  <si>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</si>
  <si>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</si>
  <si>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</si>
  <si>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</si>
  <si>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</si>
  <si>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</si>
  <si>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</si>
  <si>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</si>
  <si>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</si>
  <si>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</si>
  <si>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</si>
  <si>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</si>
  <si>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</si>
  <si>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</si>
  <si>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</si>
  <si>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</si>
  <si>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</si>
  <si>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</si>
  <si>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</si>
  <si>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</si>
  <si>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</si>
  <si>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</si>
  <si>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</si>
  <si>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</si>
  <si>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</si>
  <si>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</si>
  <si>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</si>
  <si>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</si>
  <si>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</si>
  <si>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</si>
  <si>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</si>
  <si>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</si>
  <si>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</si>
  <si>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</si>
  <si>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</si>
  <si>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</si>
  <si>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</si>
  <si>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</si>
  <si>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</si>
  <si>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</si>
  <si>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</si>
  <si>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</si>
  <si>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</si>
  <si>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</si>
  <si>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</si>
  <si>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</si>
  <si>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</si>
  <si>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</si>
  <si>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</si>
  <si>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</si>
  <si>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</si>
  <si>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</si>
  <si>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</si>
  <si>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</si>
  <si>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</si>
  <si>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</si>
  <si>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</si>
  <si>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</si>
  <si>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</si>
  <si>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</si>
  <si>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</si>
  <si>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</si>
  <si>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</si>
  <si>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</si>
  <si>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</si>
  <si>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</si>
  <si>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</si>
  <si>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</si>
  <si>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</si>
  <si>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</si>
  <si>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</si>
  <si>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</si>
  <si>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</si>
  <si>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</si>
  <si>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</si>
  <si>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</si>
  <si>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</si>
  <si>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</si>
  <si>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</si>
  <si>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</si>
  <si>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</si>
  <si>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</si>
  <si>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</si>
  <si>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</si>
  <si>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</si>
  <si>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</si>
  <si>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</si>
  <si>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</si>
  <si>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</si>
  <si>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</si>
  <si>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</si>
  <si>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</si>
  <si>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</si>
  <si>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</si>
  <si>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</si>
  <si>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</si>
  <si>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</si>
  <si>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</si>
  <si>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</si>
  <si>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</si>
  <si>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</si>
  <si>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</si>
  <si>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</si>
  <si>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</si>
  <si>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</si>
  <si>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</si>
  <si>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</si>
  <si>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</si>
  <si>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</si>
  <si>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</si>
  <si>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</si>
  <si>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</si>
  <si>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</si>
  <si>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</si>
  <si>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</si>
  <si>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</si>
  <si>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</si>
  <si>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</si>
  <si>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</si>
  <si>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</si>
  <si>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</si>
  <si>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</si>
  <si>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</si>
  <si>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</si>
  <si>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</si>
  <si>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</si>
  <si>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</si>
  <si>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</si>
  <si>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</si>
  <si>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</si>
  <si>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</si>
  <si>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</si>
  <si>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</si>
  <si>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</si>
  <si>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</si>
  <si>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</si>
  <si>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</si>
  <si>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</si>
  <si>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</si>
  <si>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</si>
  <si>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</si>
  <si>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</si>
  <si>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</si>
  <si>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</si>
  <si>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</si>
  <si>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</si>
  <si>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</si>
  <si>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</si>
  <si>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</si>
  <si>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</si>
  <si>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</si>
  <si>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</si>
  <si>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</si>
  <si>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</si>
  <si>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</si>
  <si>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</si>
  <si>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</si>
  <si>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</si>
  <si>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</si>
  <si>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</si>
  <si>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</si>
  <si>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</si>
  <si>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</si>
  <si>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</si>
  <si>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</si>
  <si>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</si>
  <si>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</si>
  <si>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</si>
  <si>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</si>
  <si>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</si>
  <si>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</si>
  <si>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</si>
  <si>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</si>
  <si>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</si>
  <si>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</si>
  <si>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</si>
  <si>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</si>
  <si>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</si>
  <si>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</si>
  <si>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</si>
  <si>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</si>
  <si>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</si>
  <si>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</si>
  <si>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</si>
  <si>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</si>
  <si>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</si>
  <si>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</si>
  <si>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</si>
  <si>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</si>
  <si>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</si>
  <si>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</si>
  <si>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</si>
  <si>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</si>
  <si>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</si>
  <si>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</si>
  <si>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</si>
  <si>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</si>
  <si>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</si>
  <si>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</si>
  <si>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</si>
  <si>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</si>
  <si>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</si>
  <si>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</si>
  <si>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</si>
  <si>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</si>
  <si>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</si>
  <si>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</si>
  <si>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</si>
  <si>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</si>
  <si>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</si>
  <si>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</si>
  <si>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</si>
  <si>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</si>
  <si>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</si>
  <si>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</si>
  <si>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</si>
  <si>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</si>
  <si>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</si>
  <si>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</si>
  <si>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</si>
  <si>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</si>
  <si>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</si>
  <si>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</si>
  <si>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</si>
  <si>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</si>
  <si>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</si>
  <si>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</si>
  <si>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</si>
  <si>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</si>
  <si>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</si>
  <si>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</si>
  <si>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</si>
  <si>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</si>
  <si>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</si>
  <si>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</si>
  <si>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</si>
  <si>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</si>
  <si>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</si>
  <si>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</si>
  <si>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</si>
  <si>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</si>
  <si>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</si>
  <si>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</si>
  <si>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</si>
  <si>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</si>
  <si>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</si>
  <si>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</si>
  <si>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</si>
  <si>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</si>
  <si>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</si>
  <si>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</si>
  <si>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</si>
  <si>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</si>
  <si>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</si>
  <si>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</si>
  <si>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</si>
  <si>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</si>
  <si>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</si>
  <si>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</si>
  <si>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</si>
  <si>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</si>
  <si>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</si>
  <si>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</si>
  <si>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</si>
  <si>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</si>
  <si>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</si>
  <si>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</si>
  <si>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</si>
  <si>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</si>
  <si>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</si>
  <si>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</si>
  <si>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</si>
  <si>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</si>
  <si>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</si>
  <si>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</si>
  <si>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</si>
  <si>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</si>
  <si>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</si>
  <si>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</si>
  <si>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</si>
  <si>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</si>
  <si>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</si>
  <si>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</si>
  <si>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</si>
  <si>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</si>
  <si>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</si>
  <si>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</si>
  <si>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</si>
  <si>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</si>
  <si>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</si>
  <si>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</si>
  <si>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</si>
  <si>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</si>
  <si>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</si>
  <si>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</si>
  <si>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</si>
  <si>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</si>
  <si>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</si>
  <si>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</si>
  <si>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</si>
  <si>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</si>
  <si>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</si>
  <si>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</si>
  <si>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</si>
  <si>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</si>
  <si>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</si>
  <si>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</si>
  <si>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</si>
  <si>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</si>
  <si>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</si>
  <si>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</si>
  <si>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</si>
  <si>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</si>
  <si>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</si>
  <si>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</si>
  <si>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</si>
  <si>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</si>
  <si>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</si>
  <si>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</si>
  <si>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</si>
  <si>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</si>
  <si>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</si>
  <si>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</si>
  <si>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</si>
  <si>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</si>
  <si>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</si>
  <si>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</si>
  <si>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</si>
  <si>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</si>
  <si>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</si>
  <si>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</si>
  <si>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</si>
  <si>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</si>
  <si>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</si>
  <si>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</si>
  <si>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</si>
  <si>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</si>
  <si>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</si>
  <si>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</si>
  <si>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</si>
  <si>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</si>
  <si>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</si>
  <si>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</si>
  <si>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</si>
  <si>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</si>
  <si>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</si>
  <si>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</si>
  <si>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</si>
  <si>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</si>
  <si>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</si>
  <si>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</si>
  <si>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</si>
  <si>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</si>
  <si>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</si>
  <si>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</si>
  <si>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</si>
  <si>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</si>
  <si>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</si>
  <si>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</si>
  <si>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</si>
  <si>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</si>
  <si>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</si>
  <si>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</si>
  <si>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</si>
  <si>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</si>
  <si>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</si>
  <si>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</si>
  <si>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</si>
  <si>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</si>
  <si>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</si>
  <si>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</si>
  <si>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</si>
  <si>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</si>
  <si>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</si>
  <si>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</si>
  <si>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</si>
  <si>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</si>
  <si>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</si>
  <si>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</si>
  <si>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</si>
  <si>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</si>
  <si>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</si>
  <si>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</si>
  <si>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</si>
  <si>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</si>
  <si>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</si>
  <si>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</si>
  <si>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</si>
  <si>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</si>
  <si>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</si>
  <si>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</si>
  <si>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</si>
  <si>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</si>
  <si>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</si>
  <si>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</si>
  <si>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</si>
  <si>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</si>
  <si>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</si>
  <si>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</si>
  <si>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</si>
  <si>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</si>
  <si>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</si>
  <si>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</si>
  <si>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</si>
  <si>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</si>
  <si>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</si>
  <si>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</si>
  <si>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</si>
  <si>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</si>
  <si>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</si>
  <si>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</si>
  <si>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</si>
  <si>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</si>
  <si>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</si>
  <si>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</si>
  <si>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</si>
  <si>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</si>
  <si>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</si>
  <si>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</si>
  <si>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</si>
  <si>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</si>
  <si>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</si>
  <si>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</si>
  <si>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</si>
  <si>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</si>
  <si>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</si>
  <si>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</si>
  <si>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</si>
  <si>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</si>
  <si>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</si>
  <si>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</si>
  <si>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</si>
  <si>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</si>
  <si>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</si>
  <si>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</si>
  <si>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</si>
  <si>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</si>
  <si>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</si>
  <si>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</si>
  <si>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</si>
  <si>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</si>
  <si>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</si>
  <si>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</si>
  <si>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</si>
  <si>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</si>
  <si>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</si>
  <si>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</si>
  <si>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</si>
  <si>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</si>
  <si>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</si>
  <si>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</si>
  <si>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</si>
  <si>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</si>
  <si>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</si>
  <si>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</si>
  <si>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</si>
  <si>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</si>
  <si>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</si>
  <si>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</si>
  <si>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</si>
  <si>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</si>
  <si>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</si>
  <si>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</si>
  <si>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</si>
  <si>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</si>
  <si>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</si>
  <si>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</si>
  <si>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</si>
  <si>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</si>
  <si>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</si>
  <si>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</si>
  <si>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</si>
  <si>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</si>
  <si>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</si>
  <si>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</si>
  <si>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</si>
  <si>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</si>
  <si>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</si>
  <si>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</si>
  <si>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</si>
  <si>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</si>
  <si>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</si>
  <si>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</si>
  <si>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</si>
  <si>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</si>
  <si>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</si>
  <si>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</si>
  <si>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</si>
  <si>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</si>
  <si>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</si>
  <si>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</si>
  <si>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</si>
  <si>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</si>
  <si>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</si>
  <si>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</si>
  <si>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</si>
  <si>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</si>
  <si>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</si>
  <si>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</si>
  <si>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</si>
  <si>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</si>
  <si>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</si>
  <si>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</si>
  <si>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</si>
  <si>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</si>
  <si>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</si>
  <si>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</si>
  <si>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</si>
  <si>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</si>
  <si>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</si>
  <si>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</si>
  <si>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</si>
  <si>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</si>
  <si>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</si>
  <si>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</si>
  <si>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</si>
  <si>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</si>
  <si>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</si>
  <si>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</si>
  <si>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</si>
  <si>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</si>
  <si>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</si>
  <si>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</si>
  <si>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</si>
  <si>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</si>
  <si>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</si>
  <si>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</si>
  <si>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</si>
  <si>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</si>
  <si>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</si>
  <si>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</si>
  <si>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</si>
  <si>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</si>
  <si>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</si>
  <si>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</si>
  <si>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</si>
  <si>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</si>
  <si>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</si>
  <si>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</si>
  <si>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</si>
  <si>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</si>
  <si>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</si>
  <si>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</si>
  <si>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</si>
  <si>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</si>
  <si>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</si>
  <si>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</si>
  <si>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</si>
  <si>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</si>
  <si>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</si>
  <si>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</si>
  <si>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</si>
  <si>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</si>
  <si>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</si>
  <si>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</si>
  <si>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</si>
  <si>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</si>
  <si>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</si>
  <si>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</si>
  <si>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</si>
  <si>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</si>
  <si>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</si>
  <si>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</si>
  <si>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</si>
  <si>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</si>
  <si>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</si>
  <si>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</si>
  <si>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</si>
  <si>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</si>
  <si>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</si>
  <si>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</si>
  <si>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</si>
  <si>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</si>
  <si>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</si>
  <si>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</si>
  <si>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</si>
  <si>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</si>
  <si>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</si>
  <si>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</si>
  <si>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</si>
  <si>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</si>
  <si>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</si>
  <si>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</si>
  <si>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</si>
  <si>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</si>
  <si>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</si>
  <si>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</si>
  <si>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</si>
  <si>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</si>
  <si>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</si>
  <si>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</si>
  <si>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</si>
  <si>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</si>
  <si>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</si>
  <si>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</si>
  <si>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</si>
  <si>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</si>
  <si>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</si>
  <si>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</si>
  <si>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</si>
  <si>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</si>
  <si>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</si>
  <si>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</si>
  <si>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</si>
  <si>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</si>
  <si>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</si>
  <si>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</si>
  <si>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</si>
  <si>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</si>
  <si>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</si>
  <si>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</si>
  <si>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</si>
  <si>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</si>
  <si>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</si>
  <si>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</si>
  <si>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</si>
  <si>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</si>
  <si>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</si>
  <si>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</si>
  <si>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</si>
  <si>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</si>
  <si>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</si>
  <si>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</si>
  <si>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</si>
  <si>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</si>
  <si>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</si>
  <si>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</si>
  <si>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</si>
  <si>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</si>
  <si>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</si>
  <si>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</si>
  <si>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</si>
  <si>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</si>
  <si>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</si>
  <si>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</si>
  <si>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</si>
  <si>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</si>
  <si>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</si>
  <si>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</si>
  <si>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</si>
  <si>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</si>
  <si>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</si>
  <si>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</si>
  <si>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</si>
  <si>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</si>
  <si>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</si>
  <si>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</si>
  <si>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</si>
  <si>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</si>
  <si>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</si>
  <si>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</si>
  <si>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</si>
  <si>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</si>
  <si>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</si>
  <si>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</si>
  <si>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</si>
  <si>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</si>
  <si>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</si>
  <si>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</si>
  <si>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</si>
  <si>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</si>
  <si>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</si>
  <si>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</si>
  <si>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</si>
  <si>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</si>
  <si>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</si>
  <si>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</si>
  <si>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</si>
  <si>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</si>
  <si>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</si>
  <si>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</si>
  <si>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</si>
  <si>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</si>
  <si>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</si>
  <si>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</si>
  <si>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</si>
  <si>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</si>
  <si>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</si>
  <si>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</si>
  <si>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</si>
  <si>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</si>
  <si>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</si>
  <si>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</si>
  <si>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</si>
  <si>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</si>
  <si>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</si>
  <si>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</si>
  <si>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</si>
  <si>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</si>
  <si>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</si>
  <si>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</si>
  <si>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</si>
  <si>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</si>
  <si>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</si>
  <si>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</si>
  <si>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</si>
  <si>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</si>
  <si>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</si>
  <si>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</si>
  <si>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</si>
  <si>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</si>
  <si>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</si>
  <si>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</si>
  <si>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</si>
  <si>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</si>
  <si>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</si>
  <si>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</si>
  <si>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</si>
  <si>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</si>
  <si>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</si>
  <si>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</si>
  <si>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</si>
  <si>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</si>
  <si>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</si>
  <si>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</si>
  <si>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</si>
  <si>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</si>
  <si>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</si>
  <si>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</si>
  <si>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</si>
  <si>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</si>
  <si>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</si>
  <si>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</si>
  <si>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</si>
  <si>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</si>
  <si>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</si>
  <si>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</si>
  <si>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</si>
  <si>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</si>
  <si>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</si>
  <si>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</si>
  <si>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</si>
  <si>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</si>
  <si>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</si>
  <si>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</si>
  <si>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</si>
  <si>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</si>
  <si>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</si>
  <si>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</si>
  <si>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</si>
  <si>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</si>
  <si>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</si>
  <si>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</si>
  <si>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</si>
  <si>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</si>
  <si>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</si>
  <si>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</si>
  <si>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</si>
  <si>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</si>
  <si>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</si>
  <si>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</si>
  <si>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</si>
  <si>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</si>
  <si>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</si>
  <si>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</si>
  <si>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</si>
  <si>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</si>
  <si>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</si>
  <si>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</si>
  <si>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</si>
  <si>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</si>
  <si>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</si>
  <si>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</si>
  <si>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</si>
  <si>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</si>
  <si>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</si>
  <si>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</si>
  <si>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</si>
  <si>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</si>
  <si>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</si>
  <si>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</si>
  <si>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</si>
  <si>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</si>
  <si>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</si>
  <si>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</si>
  <si>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</si>
  <si>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</si>
  <si>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</si>
  <si>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</si>
  <si>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</si>
  <si>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</si>
  <si>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</si>
  <si>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</si>
  <si>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</si>
  <si>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</si>
  <si>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</si>
  <si>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</si>
  <si>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</si>
  <si>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</si>
  <si>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</si>
  <si>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</si>
  <si>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</si>
  <si>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</si>
  <si>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</si>
  <si>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</si>
  <si>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</si>
  <si>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</si>
  <si>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</si>
  <si>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</si>
  <si>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</si>
  <si>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</si>
  <si>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</si>
  <si>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</si>
  <si>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</si>
  <si>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</si>
  <si>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</si>
  <si>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</si>
  <si>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</si>
  <si>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</si>
  <si>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</si>
  <si>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</si>
  <si>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</si>
  <si>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</si>
  <si>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</si>
  <si>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</si>
  <si>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</si>
  <si>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</si>
  <si>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</si>
  <si>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</si>
  <si>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</si>
  <si>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</si>
  <si>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</si>
  <si>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</si>
  <si>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</si>
  <si>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</si>
  <si>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</si>
  <si>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</si>
  <si>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</si>
  <si>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</si>
  <si>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</si>
  <si>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</si>
  <si>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</si>
  <si>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</si>
  <si>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</si>
  <si>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</si>
  <si>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</si>
  <si>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</si>
  <si>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</si>
  <si>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</si>
  <si>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</si>
  <si>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</si>
  <si>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</si>
  <si>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</si>
  <si>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</si>
  <si>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</si>
  <si>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</si>
  <si>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</si>
  <si>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</si>
  <si>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</si>
  <si>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</si>
  <si>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</si>
  <si>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</si>
  <si>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</si>
  <si>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</si>
  <si>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</si>
  <si>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</si>
  <si>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</si>
  <si>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</si>
  <si>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</si>
  <si>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</si>
  <si>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</si>
  <si>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</si>
  <si>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</si>
  <si>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</si>
  <si>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</si>
  <si>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</si>
  <si>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</si>
  <si>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</si>
  <si>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</si>
  <si>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</si>
  <si>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</si>
  <si>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</si>
  <si>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</si>
  <si>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</si>
  <si>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</si>
  <si>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</si>
  <si>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</si>
  <si>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</si>
  <si>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</si>
  <si>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</si>
  <si>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</si>
  <si>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</si>
  <si>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</si>
  <si>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</si>
  <si>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</si>
  <si>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</si>
  <si>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</si>
  <si>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</si>
  <si>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</si>
  <si>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</si>
  <si>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</si>
  <si>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</si>
  <si>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</si>
  <si>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</si>
  <si>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</si>
  <si>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</si>
  <si>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</si>
  <si>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</si>
  <si>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</si>
  <si>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</si>
  <si>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</si>
  <si>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</si>
  <si>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</si>
  <si>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</si>
  <si>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</si>
  <si>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</si>
  <si>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</si>
  <si>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</si>
  <si>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</si>
  <si>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</si>
  <si>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</si>
  <si>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</si>
  <si>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</si>
  <si>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</si>
  <si>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</si>
  <si>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</si>
  <si>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</si>
  <si>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</si>
  <si>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</si>
  <si>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</si>
  <si>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</si>
  <si>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</si>
  <si>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</si>
  <si>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</si>
  <si>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</si>
  <si>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</si>
  <si>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</si>
  <si>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</si>
  <si>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</si>
  <si>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</si>
  <si>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</si>
  <si>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</si>
  <si>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</si>
  <si>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</si>
  <si>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</si>
  <si>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</si>
  <si>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</si>
  <si>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</si>
  <si>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</si>
  <si>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</si>
  <si>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</si>
  <si>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</si>
  <si>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</si>
  <si>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</si>
  <si>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</si>
  <si>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</si>
  <si>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</si>
  <si>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</si>
  <si>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</si>
  <si>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</si>
  <si>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</si>
  <si>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</si>
  <si>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</si>
  <si>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</si>
  <si>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</si>
  <si>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</si>
  <si>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</si>
  <si>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</si>
  <si>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</si>
  <si>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</si>
  <si>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</si>
  <si>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</si>
  <si>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</si>
  <si>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</si>
  <si>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</si>
  <si>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</si>
  <si>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</si>
  <si>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</si>
  <si>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</si>
  <si>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</si>
  <si>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</si>
  <si>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</si>
  <si>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</si>
  <si>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</si>
  <si>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</si>
  <si>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</si>
  <si>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</si>
  <si>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</si>
  <si>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</si>
  <si>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</si>
  <si>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</si>
  <si>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</si>
  <si>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</si>
  <si>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</si>
  <si>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</si>
  <si>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</si>
  <si>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</si>
  <si>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</si>
  <si>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</si>
  <si>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</si>
  <si>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</si>
  <si>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</si>
  <si>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</si>
  <si>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</si>
  <si>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</si>
  <si>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</si>
  <si>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</si>
  <si>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</si>
  <si>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</si>
  <si>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</si>
  <si>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</si>
  <si>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</si>
  <si>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</si>
  <si>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</si>
  <si>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</si>
  <si>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</si>
  <si>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</si>
  <si>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</si>
  <si>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</si>
  <si>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</si>
  <si>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</si>
  <si>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</si>
  <si>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</si>
  <si>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</si>
  <si>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</si>
  <si>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</si>
  <si>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</si>
  <si>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</si>
  <si>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</si>
  <si>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</si>
  <si>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</si>
  <si>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</si>
  <si>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</si>
  <si>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</si>
  <si>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</si>
  <si>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</si>
  <si>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</si>
  <si>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</si>
  <si>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</si>
  <si>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</si>
  <si>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</si>
  <si>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</si>
  <si>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</si>
  <si>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</si>
  <si>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</si>
  <si>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</si>
  <si>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</si>
  <si>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</si>
  <si>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</si>
  <si>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</si>
  <si>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</si>
  <si>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</si>
  <si>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</si>
  <si>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</si>
  <si>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</si>
  <si>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</si>
  <si>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</si>
  <si>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</si>
  <si>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</si>
  <si>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</si>
  <si>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</si>
  <si>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</si>
  <si>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</si>
  <si>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</si>
  <si>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</si>
  <si>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</si>
  <si>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</si>
  <si>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</si>
  <si>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</si>
  <si>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</si>
  <si>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</si>
  <si>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</si>
  <si>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</si>
  <si>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</si>
  <si>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</si>
  <si>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</si>
  <si>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</si>
  <si>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</si>
  <si>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</si>
  <si>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</si>
  <si>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</si>
  <si>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</si>
  <si>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</si>
  <si>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</si>
  <si>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</si>
  <si>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</si>
  <si>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</si>
  <si>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</si>
  <si>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</si>
  <si>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</si>
  <si>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</si>
  <si>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</si>
  <si>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</si>
  <si>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</si>
  <si>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</si>
  <si>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</si>
  <si>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</si>
  <si>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</si>
  <si>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</si>
  <si>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</si>
  <si>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</si>
  <si>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</si>
  <si>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</si>
  <si>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</si>
  <si>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</si>
  <si>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</si>
  <si>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</si>
  <si>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</si>
  <si>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</si>
  <si>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</si>
  <si>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</si>
  <si>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</si>
  <si>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</si>
  <si>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</si>
  <si>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</si>
  <si>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</si>
  <si>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</si>
  <si>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</si>
  <si>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</si>
  <si>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</si>
  <si>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</si>
  <si>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</si>
  <si>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</si>
  <si>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</si>
  <si>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</si>
  <si>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</si>
  <si>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</si>
  <si>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</si>
  <si>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</si>
  <si>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</si>
  <si>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</si>
  <si>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</si>
  <si>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</si>
  <si>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</si>
  <si>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</si>
  <si>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</si>
  <si>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</si>
  <si>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</si>
  <si>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</si>
  <si>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</si>
  <si>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</si>
  <si>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</si>
  <si>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</si>
  <si>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</si>
  <si>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</si>
  <si>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</si>
  <si>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</si>
  <si>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</si>
  <si>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</si>
  <si>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</si>
  <si>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</si>
  <si>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</si>
  <si>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</si>
  <si>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</si>
  <si>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</si>
  <si>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</si>
  <si>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</si>
  <si>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</si>
  <si>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</si>
  <si>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</si>
  <si>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</si>
  <si>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</si>
  <si>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</si>
  <si>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</si>
  <si>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</si>
  <si>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</si>
  <si>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</si>
  <si>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</si>
  <si>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</si>
  <si>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</si>
  <si>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</si>
  <si>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</si>
  <si>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</si>
  <si>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</si>
  <si>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</si>
  <si>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</si>
  <si>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</si>
  <si>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</si>
  <si>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</si>
  <si>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</si>
  <si>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</si>
  <si>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</si>
  <si>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</si>
  <si>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</si>
  <si>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</si>
  <si>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</si>
  <si>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</si>
  <si>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</si>
  <si>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</si>
  <si>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</si>
  <si>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</si>
  <si>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</si>
  <si>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</si>
  <si>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</si>
  <si>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</si>
  <si>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</si>
  <si>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</si>
  <si>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</si>
  <si>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</si>
  <si>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</si>
  <si>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</si>
  <si>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</si>
  <si>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</si>
  <si>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</si>
  <si>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</si>
  <si>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</si>
  <si>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</si>
  <si>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</si>
  <si>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</si>
  <si>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</si>
  <si>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</si>
  <si>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</si>
  <si>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</si>
  <si>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</si>
  <si>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</si>
  <si>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</si>
  <si>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</si>
  <si>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</si>
  <si>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</si>
  <si>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</si>
  <si>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</si>
  <si>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</si>
  <si>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</si>
  <si>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</si>
  <si>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</si>
  <si>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</si>
  <si>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</si>
  <si>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</si>
  <si>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</si>
  <si>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</si>
  <si>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</si>
  <si>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</si>
  <si>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</si>
  <si>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</si>
  <si>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</si>
  <si>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</si>
  <si>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</si>
  <si>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</si>
  <si>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</si>
  <si>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</si>
  <si>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</si>
  <si>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</si>
  <si>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</si>
  <si>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</si>
  <si>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</si>
  <si>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</si>
  <si>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</si>
  <si>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</si>
  <si>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</si>
  <si>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</si>
  <si>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</si>
  <si>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</si>
  <si>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</si>
  <si>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</si>
  <si>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</si>
  <si>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</si>
  <si>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</si>
  <si>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</si>
  <si>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</si>
  <si>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</si>
  <si>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</si>
  <si>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</si>
  <si>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</si>
  <si>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</si>
  <si>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</si>
  <si>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</si>
  <si>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</si>
  <si>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</si>
  <si>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</si>
  <si>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</si>
  <si>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</si>
  <si>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</si>
  <si>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</si>
  <si>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</si>
  <si>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</si>
  <si>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</si>
  <si>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</si>
  <si>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</si>
  <si>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</si>
  <si>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</si>
  <si>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</si>
  <si>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</si>
  <si>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</si>
  <si>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</si>
  <si>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</si>
  <si>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</si>
  <si>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</si>
  <si>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</si>
  <si>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</si>
  <si>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</si>
  <si>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</si>
  <si>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</si>
  <si>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</si>
  <si>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</si>
  <si>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</si>
  <si>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</si>
  <si>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</si>
  <si>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</si>
  <si>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</si>
  <si>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</si>
  <si>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</si>
  <si>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</si>
  <si>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</si>
  <si>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</si>
  <si>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</si>
  <si>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</si>
  <si>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</si>
  <si>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</si>
  <si>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</si>
  <si>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</si>
  <si>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</si>
  <si>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</si>
  <si>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</si>
  <si>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</si>
  <si>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</si>
  <si>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</si>
  <si>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</si>
  <si>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</si>
  <si>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</si>
  <si>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</si>
  <si>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</si>
  <si>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</si>
  <si>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</si>
  <si>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</si>
  <si>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</si>
  <si>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</si>
  <si>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</si>
  <si>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</si>
  <si>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</si>
  <si>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</si>
  <si>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</si>
  <si>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</si>
  <si>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</si>
  <si>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</si>
  <si>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</si>
  <si>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</si>
  <si>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</si>
  <si>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</si>
  <si>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</si>
  <si>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</si>
  <si>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</si>
  <si>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</si>
  <si>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</si>
  <si>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</si>
  <si>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</si>
  <si>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</si>
  <si>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</si>
  <si>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</si>
  <si>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</si>
  <si>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</si>
  <si>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</si>
  <si>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</si>
  <si>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</si>
  <si>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</si>
  <si>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</si>
  <si>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</si>
  <si>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</si>
  <si>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</si>
  <si>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</si>
  <si>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</si>
  <si>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</si>
  <si>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</si>
  <si>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</si>
  <si>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</si>
  <si>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</si>
  <si>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</si>
  <si>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</si>
  <si>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</si>
  <si>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</si>
  <si>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</si>
  <si>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</si>
  <si>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</si>
  <si>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</si>
  <si>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</si>
  <si>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</si>
  <si>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</si>
  <si>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</si>
  <si>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</si>
  <si>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</si>
  <si>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</si>
  <si>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</si>
  <si>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</si>
  <si>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</si>
  <si>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</si>
  <si>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</si>
  <si>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</si>
  <si>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</si>
  <si>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</si>
  <si>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</si>
  <si>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</si>
  <si>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</si>
  <si>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</si>
  <si>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</si>
  <si>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</si>
  <si>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</si>
  <si>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</si>
  <si>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</si>
  <si>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</si>
  <si>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</si>
  <si>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</si>
  <si>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</si>
  <si>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</si>
  <si>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</si>
  <si>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</si>
  <si>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</si>
  <si>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</si>
  <si>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</si>
  <si>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</si>
  <si>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</si>
  <si>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</si>
  <si>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</si>
  <si>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</si>
  <si>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</si>
  <si>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</si>
  <si>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</si>
  <si>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</si>
  <si>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</si>
  <si>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</si>
  <si>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</si>
  <si>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</si>
  <si>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</si>
  <si>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</si>
  <si>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</si>
  <si>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</si>
  <si>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</si>
  <si>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</si>
  <si>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</si>
  <si>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</si>
  <si>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</si>
  <si>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</si>
  <si>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</si>
  <si>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</si>
  <si>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</si>
  <si>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</si>
  <si>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</si>
  <si>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</si>
  <si>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</si>
  <si>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</si>
  <si>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</si>
  <si>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</si>
  <si>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</si>
  <si>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</si>
  <si>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</si>
  <si>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</si>
  <si>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</si>
  <si>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</si>
  <si>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</si>
  <si>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</si>
  <si>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</si>
  <si>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</si>
  <si>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</si>
  <si>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</si>
  <si>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</si>
  <si>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</si>
  <si>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</si>
  <si>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</si>
  <si>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</si>
  <si>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</si>
  <si>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</si>
  <si>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</si>
  <si>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</si>
  <si>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</si>
  <si>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</si>
  <si>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</si>
  <si>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</si>
  <si>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</si>
  <si>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</si>
  <si>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</si>
  <si>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</si>
  <si>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</si>
  <si>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</si>
  <si>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</si>
  <si>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</si>
  <si>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</si>
  <si>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</si>
  <si>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</si>
  <si>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</si>
  <si>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</si>
  <si>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</si>
  <si>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</si>
  <si>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</si>
  <si>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</si>
  <si>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</si>
  <si>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</si>
  <si>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</si>
  <si>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</si>
  <si>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</si>
  <si>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</si>
  <si>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</si>
  <si>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</si>
  <si>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</si>
  <si>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</si>
  <si>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</si>
  <si>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</si>
  <si>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</si>
  <si>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</si>
  <si>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</si>
  <si>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</si>
  <si>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</si>
  <si>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</si>
  <si>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</si>
  <si>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</si>
  <si>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</si>
  <si>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</si>
  <si>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</si>
  <si>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</si>
  <si>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</si>
  <si>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</si>
  <si>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</si>
  <si>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</si>
  <si>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</si>
  <si>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</si>
  <si>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</si>
  <si>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</si>
  <si>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</si>
  <si>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</si>
  <si>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</si>
  <si>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</si>
  <si>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</si>
  <si>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</si>
  <si>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</si>
  <si>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</si>
  <si>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</si>
  <si>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</si>
  <si>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</si>
  <si>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</si>
  <si>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</si>
  <si>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</si>
  <si>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</si>
  <si>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</si>
  <si>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</si>
  <si>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</si>
  <si>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</si>
  <si>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</si>
  <si>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</si>
  <si>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</si>
  <si>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</si>
  <si>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</si>
  <si>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</si>
  <si>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</si>
  <si>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</si>
  <si>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</si>
  <si>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</si>
  <si>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</si>
  <si>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</si>
  <si>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</si>
  <si>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</si>
  <si>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</si>
  <si>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</si>
  <si>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</si>
  <si>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</si>
  <si>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</si>
  <si>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</si>
  <si>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</si>
  <si>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</si>
  <si>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</si>
  <si>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</si>
  <si>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</si>
  <si>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</si>
  <si>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</si>
  <si>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</si>
  <si>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</si>
  <si>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</si>
  <si>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</si>
  <si>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</si>
  <si>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</si>
  <si>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</si>
  <si>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</si>
  <si>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</si>
  <si>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</si>
  <si>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</si>
  <si>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</si>
  <si>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</si>
  <si>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</si>
  <si>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</si>
  <si>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</si>
  <si>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</si>
  <si>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</si>
  <si>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</si>
  <si>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</si>
  <si>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</si>
  <si>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</si>
  <si>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</si>
  <si>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</si>
  <si>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</si>
  <si>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</si>
  <si>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</si>
  <si>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</si>
  <si>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</si>
  <si>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</si>
  <si>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</si>
  <si>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</si>
  <si>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</si>
  <si>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</si>
  <si>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</si>
  <si>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</si>
  <si>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</si>
  <si>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</si>
  <si>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</si>
  <si>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</si>
  <si>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</si>
  <si>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</si>
  <si>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</si>
  <si>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</si>
  <si>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</si>
  <si>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</si>
  <si>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</si>
  <si>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</si>
  <si>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</si>
  <si>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</si>
  <si>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</si>
  <si>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</si>
  <si>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</si>
  <si>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</si>
  <si>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</si>
  <si>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</si>
  <si>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</si>
  <si>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</si>
  <si>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</si>
  <si>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</si>
  <si>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</si>
  <si>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</si>
  <si>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</si>
  <si>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</si>
  <si>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</si>
  <si>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</si>
  <si>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</si>
  <si>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</si>
  <si>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</si>
  <si>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</si>
  <si>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</si>
  <si>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</si>
  <si>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</si>
  <si>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</si>
  <si>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</si>
  <si>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</si>
  <si>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</si>
  <si>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</si>
  <si>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</si>
  <si>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</si>
  <si>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</si>
  <si>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</si>
  <si>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</si>
  <si>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</si>
  <si>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</si>
  <si>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</si>
  <si>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</si>
  <si>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</si>
  <si>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</si>
  <si>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</si>
  <si>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</si>
  <si>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</si>
  <si>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</si>
  <si>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</si>
  <si>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</si>
  <si>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</si>
  <si>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</si>
  <si>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</si>
  <si>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</si>
  <si>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</si>
  <si>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</si>
  <si>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</si>
  <si>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</si>
  <si>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</si>
  <si>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</si>
  <si>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</si>
  <si>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</si>
  <si>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</si>
  <si>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</si>
  <si>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</si>
  <si>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</si>
  <si>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</si>
  <si>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</si>
  <si>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</si>
  <si>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</si>
  <si>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</si>
  <si>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</si>
  <si>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</si>
  <si>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</si>
  <si>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</si>
  <si>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</si>
  <si>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</si>
  <si>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</si>
  <si>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</si>
  <si>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</si>
  <si>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</si>
  <si>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</si>
  <si>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</si>
  <si>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</si>
  <si>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</si>
  <si>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</si>
  <si>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</si>
  <si>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</si>
  <si>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</si>
  <si>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</si>
  <si>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</si>
  <si>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</si>
  <si>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</si>
  <si>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</si>
  <si>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</si>
  <si>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</si>
  <si>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</si>
  <si>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</si>
  <si>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</si>
  <si>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</si>
  <si>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</si>
  <si>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</si>
  <si>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</si>
  <si>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</si>
  <si>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</si>
  <si>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</si>
  <si>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</si>
  <si>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</si>
  <si>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</si>
  <si>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</si>
  <si>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</si>
  <si>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</si>
  <si>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</si>
  <si>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</si>
  <si>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</si>
  <si>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</si>
  <si>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</si>
  <si>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</si>
  <si>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</si>
  <si>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</si>
  <si>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</si>
  <si>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</si>
  <si>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</si>
  <si>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</si>
  <si>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</si>
  <si>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</si>
  <si>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</si>
  <si>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</si>
  <si>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</si>
  <si>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</si>
  <si>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</si>
  <si>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</si>
  <si>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</si>
  <si>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</si>
  <si>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</si>
  <si>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</si>
  <si>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</si>
  <si>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</si>
  <si>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</si>
  <si>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</si>
  <si>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</si>
  <si>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</si>
  <si>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</si>
  <si>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</si>
  <si>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</si>
  <si>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</si>
  <si>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</si>
  <si>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</si>
  <si>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</si>
  <si>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</si>
  <si>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</si>
  <si>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</si>
  <si>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</si>
  <si>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</si>
  <si>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</si>
  <si>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</si>
  <si>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</si>
  <si>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</si>
  <si>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</si>
  <si>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</si>
  <si>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</si>
  <si>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</si>
  <si>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</si>
  <si>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</si>
  <si>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</si>
  <si>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</si>
  <si>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</si>
  <si>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</si>
  <si>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</si>
  <si>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</si>
  <si>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</si>
  <si>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</si>
  <si>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</si>
  <si>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</si>
  <si>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</si>
  <si>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</si>
  <si>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</si>
  <si>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</si>
  <si>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</si>
  <si>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</si>
  <si>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</si>
  <si>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</si>
  <si>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</si>
  <si>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</si>
  <si>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</si>
  <si>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</si>
  <si>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</si>
  <si>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</si>
  <si>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</si>
  <si>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</si>
  <si>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</si>
  <si>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</si>
  <si>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</si>
  <si>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</si>
  <si>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</si>
  <si>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</si>
  <si>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</si>
  <si>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</si>
  <si>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</si>
  <si>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</si>
  <si>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</si>
  <si>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</si>
  <si>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</si>
  <si>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</si>
  <si>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</si>
  <si>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</si>
  <si>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</si>
  <si>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</si>
  <si>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</si>
  <si>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</si>
  <si>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</si>
  <si>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</si>
  <si>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</si>
  <si>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</si>
  <si>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</si>
  <si>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</si>
  <si>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</si>
  <si>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</si>
  <si>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</si>
  <si>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</si>
  <si>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</si>
  <si>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</si>
  <si>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</si>
  <si>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</si>
  <si>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</si>
  <si>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</si>
  <si>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</si>
  <si>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</si>
  <si>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</si>
  <si>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</si>
  <si>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</si>
  <si>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</si>
  <si>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</si>
  <si>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</si>
  <si>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</si>
  <si>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</si>
  <si>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</si>
  <si>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</si>
  <si>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</si>
  <si>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</si>
  <si>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</si>
  <si>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</si>
  <si>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</si>
  <si>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</si>
  <si>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</si>
  <si>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</si>
  <si>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</si>
  <si>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</si>
  <si>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</si>
  <si>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</si>
  <si>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</si>
  <si>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</si>
  <si>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</si>
  <si>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</si>
  <si>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</si>
  <si>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</si>
  <si>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</si>
  <si>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</si>
  <si>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</si>
  <si>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</si>
  <si>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</si>
  <si>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</si>
  <si>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</si>
  <si>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</si>
  <si>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</si>
  <si>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</si>
  <si>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</si>
  <si>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</si>
  <si>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</si>
  <si>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</si>
  <si>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</si>
  <si>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</si>
  <si>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</si>
  <si>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</si>
  <si>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</si>
  <si>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</si>
  <si>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</si>
  <si>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</si>
  <si>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</si>
  <si>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</si>
  <si>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</si>
  <si>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</si>
  <si>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</si>
  <si>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</si>
  <si>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</si>
  <si>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</si>
  <si>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</si>
  <si>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</si>
  <si>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</si>
  <si>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</si>
  <si>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</si>
  <si>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</si>
  <si>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</si>
  <si>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</si>
  <si>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</si>
  <si>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</si>
  <si>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</si>
  <si>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</si>
  <si>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</si>
  <si>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</si>
  <si>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</si>
  <si>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</si>
  <si>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</si>
  <si>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</si>
  <si>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</si>
  <si>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</si>
  <si>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</si>
  <si>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</si>
  <si>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</si>
  <si>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</si>
  <si>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</si>
  <si>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</si>
  <si>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</si>
  <si>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</si>
  <si>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</si>
  <si>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</si>
  <si>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</si>
  <si>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</si>
  <si>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</si>
  <si>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</si>
  <si>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</si>
  <si>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</si>
  <si>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</si>
  <si>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</si>
  <si>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</si>
  <si>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</si>
  <si>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</si>
  <si>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</si>
  <si>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</si>
  <si>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</si>
  <si>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</si>
  <si>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</si>
  <si>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</si>
  <si>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</si>
  <si>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</si>
  <si>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</si>
  <si>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</si>
  <si>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</si>
  <si>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</si>
  <si>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</si>
  <si>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</si>
  <si>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</si>
  <si>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</si>
  <si>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</si>
  <si>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</si>
  <si>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</si>
  <si>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</si>
  <si>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</si>
  <si>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</si>
  <si>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</si>
  <si>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</si>
  <si>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</si>
  <si>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</si>
  <si>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</si>
  <si>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</si>
  <si>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</si>
  <si>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</si>
  <si>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</si>
  <si>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</si>
  <si>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</si>
  <si>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</si>
  <si>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</si>
  <si>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</si>
  <si>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</si>
  <si>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</si>
  <si>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</si>
  <si>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</si>
  <si>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</si>
  <si>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</si>
  <si>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</si>
  <si>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</si>
  <si>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</si>
  <si>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</si>
  <si>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</si>
  <si>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</si>
  <si>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</si>
  <si>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</si>
  <si>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</si>
  <si>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</si>
  <si>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</si>
  <si>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</si>
  <si>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</si>
  <si>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</si>
  <si>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</si>
  <si>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</si>
  <si>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</si>
  <si>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</si>
  <si>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</si>
  <si>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</si>
  <si>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</si>
  <si>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</si>
  <si>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</si>
  <si>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</si>
  <si>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</si>
  <si>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</si>
  <si>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</si>
  <si>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</si>
  <si>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</si>
  <si>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</si>
  <si>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</si>
  <si>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</si>
  <si>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</si>
  <si>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</si>
  <si>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</si>
  <si>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</si>
  <si>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</si>
  <si>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</si>
  <si>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</si>
  <si>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</si>
  <si>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</si>
  <si>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</si>
  <si>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</si>
  <si>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</si>
  <si>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</si>
  <si>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</si>
  <si>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</si>
  <si>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</si>
  <si>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</si>
  <si>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</si>
  <si>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</si>
  <si>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</si>
  <si>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</si>
  <si>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</si>
  <si>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</si>
  <si>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</si>
  <si>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</si>
  <si>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</si>
  <si>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</si>
  <si>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</si>
  <si>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</si>
  <si>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</si>
  <si>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</si>
  <si>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</si>
  <si>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</si>
  <si>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</si>
  <si>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</si>
  <si>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</si>
  <si>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</si>
  <si>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</si>
  <si>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</si>
  <si>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</si>
  <si>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</si>
  <si>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</si>
  <si>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</si>
  <si>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</si>
  <si>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</si>
  <si>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</si>
  <si>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</si>
  <si>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</si>
  <si>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</si>
  <si>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</si>
  <si>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</si>
  <si>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</si>
  <si>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</si>
  <si>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</si>
  <si>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</si>
  <si>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</si>
  <si>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</si>
  <si>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</si>
  <si>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</si>
  <si>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</si>
  <si>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</si>
  <si>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</si>
  <si>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</si>
  <si>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</si>
  <si>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</si>
  <si>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</si>
  <si>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</si>
  <si>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</si>
  <si>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</si>
  <si>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</si>
  <si>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</si>
  <si>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</si>
  <si>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</si>
  <si>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</si>
  <si>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</si>
  <si>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</si>
  <si>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</si>
  <si>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</si>
  <si>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</si>
  <si>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</si>
  <si>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</si>
  <si>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</si>
  <si>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</si>
  <si>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</si>
  <si>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</si>
  <si>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</si>
  <si>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</si>
  <si>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</si>
  <si>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</si>
  <si>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</si>
  <si>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</si>
  <si>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</si>
  <si>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</si>
  <si>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</si>
  <si>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</si>
  <si>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</si>
  <si>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</si>
  <si>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</si>
  <si>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</si>
  <si>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</si>
  <si>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</si>
  <si>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</si>
  <si>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</si>
  <si>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</si>
  <si>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</si>
  <si>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</si>
  <si>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</si>
  <si>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</si>
  <si>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</si>
  <si>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</si>
  <si>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</si>
  <si>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</si>
  <si>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</si>
  <si>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</si>
  <si>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</si>
  <si>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</si>
  <si>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</si>
  <si>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</si>
  <si>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</si>
  <si>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</si>
  <si>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</si>
  <si>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</si>
  <si>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</si>
  <si>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</si>
  <si>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</si>
  <si>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</si>
  <si>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</si>
  <si>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</si>
  <si>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</si>
  <si>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</si>
  <si>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</si>
  <si>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</si>
  <si>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</si>
  <si>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</si>
  <si>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</si>
  <si>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</si>
  <si>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</si>
  <si>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</si>
  <si>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</si>
  <si>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</si>
  <si>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</si>
  <si>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</si>
  <si>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</si>
  <si>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</si>
  <si>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</si>
  <si>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</si>
  <si>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</si>
  <si>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</si>
  <si>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</si>
  <si>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</si>
  <si>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</si>
  <si>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</si>
  <si>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</si>
  <si>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</si>
  <si>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</si>
  <si>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</si>
  <si>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</si>
  <si>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</si>
  <si>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</si>
  <si>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</si>
  <si>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</si>
  <si>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</si>
  <si>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</si>
  <si>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</si>
  <si>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</si>
  <si>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</si>
  <si>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</si>
  <si>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</si>
  <si>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</si>
  <si>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</si>
  <si>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</si>
  <si>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</si>
  <si>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</si>
  <si>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</si>
  <si>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</si>
  <si>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</si>
  <si>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</si>
  <si>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</si>
  <si>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</si>
  <si>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</si>
  <si>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</si>
  <si>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</si>
  <si>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</si>
  <si>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</si>
  <si>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</si>
  <si>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</si>
  <si>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</si>
  <si>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</si>
  <si>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</si>
  <si>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</si>
  <si>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</si>
  <si>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</si>
  <si>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</si>
  <si>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</si>
  <si>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</si>
  <si>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</si>
  <si>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</si>
  <si>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</si>
  <si>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</si>
  <si>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</si>
  <si>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</si>
  <si>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</si>
  <si>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</si>
  <si>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</si>
  <si>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</si>
  <si>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</si>
  <si>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</si>
  <si>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</si>
  <si>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</si>
  <si>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</si>
  <si>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</si>
  <si>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</si>
  <si>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</si>
  <si>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</si>
  <si>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</si>
  <si>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</si>
  <si>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</si>
  <si>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</si>
  <si>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</si>
  <si>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</si>
  <si>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</si>
  <si>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</si>
  <si>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</si>
  <si>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</si>
  <si>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</si>
  <si>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</si>
  <si>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</si>
  <si>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</si>
  <si>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</si>
  <si>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</si>
  <si>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</si>
  <si>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</si>
  <si>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</si>
  <si>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</si>
  <si>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</si>
  <si>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</si>
  <si>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</si>
  <si>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</si>
  <si>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</si>
  <si>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</si>
  <si>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</si>
  <si>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</si>
  <si>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</si>
  <si>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</si>
  <si>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</si>
  <si>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</si>
  <si>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</si>
  <si>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</si>
  <si>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</si>
  <si>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</si>
  <si>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</si>
  <si>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</si>
  <si>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</si>
  <si>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</si>
  <si>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</si>
  <si>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</si>
  <si>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</si>
  <si>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</si>
  <si>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</si>
  <si>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</si>
  <si>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</si>
  <si>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</si>
  <si>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</si>
  <si>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</si>
  <si>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</si>
  <si>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</si>
  <si>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</si>
  <si>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</si>
  <si>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</si>
  <si>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</si>
  <si>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</si>
  <si>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</si>
  <si>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</si>
  <si>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</si>
  <si>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</si>
  <si>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</si>
  <si>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</si>
  <si>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</si>
  <si>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</si>
  <si>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</si>
  <si>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</si>
  <si>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</si>
  <si>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</si>
  <si>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</si>
  <si>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</si>
  <si>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</si>
  <si>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</si>
  <si>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</si>
  <si>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</si>
  <si>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</si>
  <si>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</si>
  <si>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</si>
  <si>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</si>
  <si>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</si>
  <si>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</si>
  <si>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</si>
  <si>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</si>
  <si>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</si>
  <si>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</si>
  <si>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</si>
  <si>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</si>
  <si>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</si>
  <si>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</si>
  <si>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</si>
  <si>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</si>
  <si>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</si>
  <si>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</si>
  <si>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</si>
  <si>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</si>
  <si>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</si>
  <si>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</si>
  <si>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</si>
  <si>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</si>
  <si>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</si>
  <si>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</si>
  <si>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</si>
  <si>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</si>
  <si>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</si>
  <si>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</si>
  <si>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</si>
  <si>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</si>
  <si>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</si>
  <si>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</si>
  <si>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</si>
  <si>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</si>
  <si>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</si>
  <si>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</si>
  <si>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</si>
  <si>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</si>
  <si>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</si>
  <si>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</si>
  <si>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</si>
  <si>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</si>
  <si>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</si>
  <si>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</si>
  <si>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</si>
  <si>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</si>
  <si>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</si>
  <si>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</si>
  <si>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</si>
  <si>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</si>
  <si>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</si>
  <si>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</si>
  <si>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</si>
  <si>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</si>
  <si>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</si>
  <si>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</si>
  <si>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</si>
  <si>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</si>
  <si>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</si>
  <si>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</si>
  <si>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</si>
  <si>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</si>
  <si>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</si>
  <si>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</si>
  <si>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</si>
  <si>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</si>
  <si>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</si>
  <si>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</si>
  <si>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</si>
  <si>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</si>
  <si>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</si>
  <si>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</si>
  <si>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</si>
  <si>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</si>
  <si>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</si>
  <si>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</si>
  <si>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</si>
  <si>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</si>
  <si>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</si>
  <si>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</si>
  <si>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</si>
  <si>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</si>
  <si>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</si>
  <si>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</si>
  <si>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</si>
  <si>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</si>
  <si>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</si>
  <si>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</si>
  <si>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</si>
  <si>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</si>
  <si>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</si>
  <si>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</si>
  <si>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</si>
  <si>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</si>
  <si>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</si>
  <si>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</si>
  <si>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</si>
  <si>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</si>
  <si>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</si>
  <si>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</si>
  <si>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</si>
  <si>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</si>
  <si>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</si>
  <si>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</si>
  <si>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</si>
  <si>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</si>
  <si>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</si>
  <si>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</si>
  <si>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</si>
  <si>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</si>
  <si>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</si>
  <si>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</si>
  <si>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</si>
  <si>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</si>
  <si>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</si>
  <si>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</si>
  <si>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</si>
  <si>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</si>
  <si>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</si>
  <si>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</si>
  <si>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</si>
  <si>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</si>
  <si>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</si>
  <si>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</si>
  <si>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</si>
  <si>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</si>
  <si>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</si>
  <si>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</si>
  <si>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</si>
  <si>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</si>
  <si>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</si>
  <si>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</si>
  <si>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</si>
  <si>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</si>
  <si>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</si>
  <si>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</si>
  <si>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</si>
  <si>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</si>
  <si>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</si>
  <si>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</si>
  <si>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</si>
  <si>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</si>
  <si>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</si>
  <si>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</si>
  <si>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</si>
  <si>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</si>
  <si>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</si>
  <si>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</si>
  <si>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</si>
  <si>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</si>
  <si>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</si>
  <si>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</si>
  <si>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</si>
  <si>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</si>
  <si>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</si>
  <si>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</si>
  <si>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</si>
  <si>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</si>
  <si>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</si>
  <si>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</si>
  <si>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</si>
  <si>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</si>
  <si>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</si>
  <si>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</si>
  <si>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</si>
  <si>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</si>
  <si>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</si>
  <si>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</si>
  <si>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</si>
  <si>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</si>
  <si>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</si>
  <si>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</si>
  <si>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</si>
  <si>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</si>
  <si>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</si>
  <si>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</si>
  <si>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</si>
  <si>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</si>
  <si>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</si>
  <si>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</si>
  <si>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</si>
  <si>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</si>
  <si>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</si>
  <si>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</si>
  <si>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</si>
  <si>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</si>
  <si>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</si>
  <si>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</si>
  <si>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</si>
  <si>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</si>
  <si>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</si>
  <si>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</si>
  <si>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</si>
  <si>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</si>
  <si>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</si>
  <si>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</si>
  <si>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</si>
  <si>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</si>
  <si>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</si>
  <si>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</si>
  <si>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</si>
  <si>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</si>
  <si>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</si>
  <si>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</si>
  <si>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</si>
  <si>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</si>
  <si>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</si>
  <si>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</si>
  <si>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</si>
  <si>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</si>
  <si>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</si>
  <si>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</si>
  <si>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</si>
  <si>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</si>
  <si>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</si>
  <si>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</si>
  <si>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</si>
  <si>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</si>
  <si>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</si>
  <si>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</si>
  <si>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</si>
  <si>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</si>
  <si>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</si>
  <si>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</si>
  <si>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</si>
  <si>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</si>
  <si>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</si>
  <si>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</si>
  <si>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</si>
  <si>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</si>
  <si>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</si>
  <si>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</si>
  <si>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</si>
  <si>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</si>
  <si>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</si>
  <si>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</si>
  <si>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</si>
  <si>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</si>
  <si>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</si>
  <si>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</si>
  <si>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</si>
  <si>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</si>
  <si>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</si>
  <si>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</si>
  <si>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</si>
  <si>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</si>
  <si>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</si>
  <si>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</si>
  <si>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</si>
  <si>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</si>
  <si>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</si>
  <si>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</si>
  <si>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</si>
  <si>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</si>
  <si>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</si>
  <si>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</si>
  <si>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</si>
  <si>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</si>
  <si>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</si>
  <si>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</si>
  <si>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</si>
  <si>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</si>
  <si>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</si>
  <si>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</si>
  <si>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</si>
  <si>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</si>
  <si>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</si>
  <si>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</si>
  <si>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</si>
  <si>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</si>
  <si>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</si>
  <si>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</si>
  <si>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</si>
  <si>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</si>
  <si>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</si>
  <si>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</si>
  <si>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</si>
  <si>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</si>
  <si>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</si>
  <si>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</si>
  <si>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</si>
  <si>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</si>
  <si>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</si>
  <si>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</si>
  <si>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</si>
  <si>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</si>
  <si>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</si>
  <si>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</si>
  <si>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</si>
  <si>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</si>
  <si>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</si>
  <si>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</si>
  <si>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</si>
  <si>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</si>
  <si>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</si>
  <si>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</si>
  <si>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</si>
  <si>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</si>
  <si>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</si>
  <si>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</si>
  <si>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</si>
  <si>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</si>
  <si>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</si>
  <si>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</si>
  <si>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</si>
  <si>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</si>
  <si>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</si>
  <si>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</si>
  <si>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</si>
  <si>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</si>
  <si>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</si>
  <si>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</si>
  <si>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</si>
  <si>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</si>
  <si>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</si>
  <si>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</si>
  <si>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</si>
  <si>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</si>
  <si>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</si>
  <si>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</si>
  <si>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</si>
  <si>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</si>
  <si>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</si>
  <si>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</si>
  <si>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</si>
  <si>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</si>
  <si>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</si>
  <si>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</si>
  <si>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</si>
  <si>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</si>
  <si>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</si>
  <si>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</si>
  <si>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</si>
  <si>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</si>
  <si>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</si>
  <si>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</si>
  <si>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</si>
  <si>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</si>
  <si>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</si>
  <si>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</si>
  <si>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</si>
  <si>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</si>
  <si>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</si>
  <si>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</si>
  <si>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</si>
  <si>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</si>
  <si>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</si>
  <si>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</si>
  <si>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</si>
  <si>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</si>
  <si>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</si>
  <si>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</si>
  <si>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</si>
  <si>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</si>
  <si>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</si>
  <si>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</si>
  <si>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</si>
  <si>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</si>
  <si>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</si>
  <si>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</si>
  <si>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</si>
  <si>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</si>
  <si>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</si>
  <si>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</si>
  <si>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</si>
  <si>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</si>
  <si>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</si>
  <si>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</si>
  <si>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</si>
  <si>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</si>
  <si>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</si>
  <si>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</si>
  <si>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</si>
  <si>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</si>
  <si>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</si>
  <si>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</si>
  <si>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</si>
  <si>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</si>
  <si>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</si>
  <si>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</si>
  <si>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</si>
  <si>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</si>
  <si>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</si>
  <si>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</si>
  <si>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</si>
  <si>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</si>
  <si>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</si>
  <si>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</si>
  <si>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</si>
  <si>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</si>
  <si>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</si>
  <si>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</si>
  <si>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</si>
  <si>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</si>
  <si>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</si>
  <si>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</si>
  <si>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</si>
  <si>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</si>
  <si>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</si>
  <si>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</si>
  <si>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</si>
  <si>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</si>
  <si>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</si>
  <si>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</si>
  <si>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</si>
  <si>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</si>
  <si>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</si>
  <si>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</si>
  <si>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</si>
  <si>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</si>
  <si>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</si>
  <si>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</si>
  <si>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</si>
  <si>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</si>
  <si>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</si>
  <si>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</si>
  <si>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</si>
  <si>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</si>
  <si>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</si>
  <si>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</si>
  <si>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</si>
  <si>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</si>
  <si>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</si>
  <si>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</si>
  <si>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</si>
  <si>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</si>
  <si>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</si>
  <si>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</si>
  <si>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</si>
  <si>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</si>
  <si>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</si>
  <si>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</si>
  <si>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</si>
  <si>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</si>
  <si>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</si>
  <si>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</si>
  <si>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</si>
  <si>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</si>
  <si>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</si>
  <si>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</si>
  <si>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</si>
  <si>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</si>
  <si>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</si>
  <si>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</si>
  <si>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</si>
  <si>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</si>
  <si>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</si>
  <si>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</si>
  <si>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</si>
  <si>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</si>
  <si>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</si>
  <si>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</si>
  <si>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</si>
  <si>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</si>
  <si>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</si>
  <si>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</si>
  <si>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</si>
  <si>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</si>
  <si>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</si>
  <si>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</si>
  <si>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</si>
  <si>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</si>
  <si>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</si>
  <si>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</si>
  <si>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</si>
  <si>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</si>
  <si>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</si>
  <si>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</si>
  <si>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</si>
  <si>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</si>
  <si>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</si>
  <si>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</si>
  <si>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</si>
  <si>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</si>
  <si>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</si>
  <si>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</si>
  <si>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</si>
  <si>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</si>
  <si>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</si>
  <si>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</si>
  <si>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</si>
  <si>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</si>
  <si>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</si>
  <si>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</si>
  <si>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</si>
  <si>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</si>
  <si>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</si>
  <si>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</si>
  <si>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</si>
  <si>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</si>
  <si>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</si>
  <si>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</si>
  <si>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</si>
  <si>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</si>
  <si>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</si>
  <si>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</si>
  <si>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</si>
  <si>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</si>
  <si>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</si>
  <si>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</si>
  <si>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</si>
  <si>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</si>
  <si>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</si>
  <si>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</si>
  <si>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</si>
  <si>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</si>
  <si>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</si>
  <si>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</si>
  <si>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</si>
  <si>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</si>
  <si>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</si>
  <si>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</si>
  <si>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</si>
  <si>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</si>
  <si>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</si>
  <si>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</si>
  <si>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</si>
  <si>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</si>
  <si>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</si>
  <si>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</si>
  <si>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</si>
  <si>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</si>
  <si>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</si>
  <si>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</si>
  <si>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</si>
  <si>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</si>
  <si>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</si>
  <si>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</si>
  <si>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</si>
  <si>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</si>
  <si>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</si>
  <si>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</si>
  <si>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</si>
  <si>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</si>
  <si>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</si>
  <si>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</si>
  <si>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</si>
  <si>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</si>
  <si>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</si>
  <si>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</si>
  <si>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</si>
  <si>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</si>
  <si>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</si>
  <si>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</si>
  <si>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</si>
  <si>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</si>
  <si>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</si>
  <si>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</si>
  <si>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</si>
  <si>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</si>
  <si>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</si>
  <si>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</si>
  <si>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</si>
  <si>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</si>
  <si>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</si>
  <si>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</si>
  <si>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</si>
  <si>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</si>
  <si>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</si>
  <si>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</si>
  <si>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</si>
  <si>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</si>
  <si>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</si>
  <si>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</si>
  <si>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</si>
  <si>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</si>
  <si>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</si>
  <si>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</si>
  <si>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</si>
  <si>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</si>
  <si>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</si>
  <si>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</si>
  <si>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</si>
  <si>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</si>
  <si>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</si>
  <si>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</si>
  <si>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</si>
  <si>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</si>
  <si>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</si>
  <si>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</si>
  <si>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</si>
  <si>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</si>
  <si>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</si>
  <si>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</si>
  <si>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</si>
  <si>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</si>
  <si>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</si>
  <si>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</si>
  <si>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</si>
  <si>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</si>
  <si>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</si>
  <si>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</si>
  <si>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</si>
  <si>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</si>
  <si>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</si>
  <si>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</si>
  <si>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</si>
  <si>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</si>
  <si>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</si>
  <si>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</si>
  <si>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</si>
  <si>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</si>
  <si>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</si>
  <si>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</si>
  <si>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</si>
  <si>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</si>
  <si>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</si>
  <si>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</si>
  <si>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</si>
  <si>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</si>
  <si>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</si>
  <si>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</si>
  <si>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</si>
  <si>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</si>
  <si>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</si>
  <si>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</si>
  <si>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</si>
  <si>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</si>
  <si>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</si>
  <si>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</si>
  <si>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</si>
  <si>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</si>
  <si>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</si>
  <si>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</si>
  <si>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</si>
  <si>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</si>
  <si>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</si>
  <si>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</si>
  <si>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</si>
  <si>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</si>
  <si>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</si>
  <si>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</si>
  <si>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</si>
  <si>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</si>
  <si>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</si>
  <si>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</si>
  <si>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</si>
  <si>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</si>
  <si>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</si>
  <si>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</si>
  <si>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</si>
  <si>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</si>
  <si>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</si>
  <si>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</si>
  <si>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</si>
  <si>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</si>
  <si>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</si>
  <si>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</si>
  <si>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</si>
  <si>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</si>
  <si>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</si>
  <si>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</si>
  <si>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</si>
  <si>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</si>
  <si>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</si>
  <si>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</si>
  <si>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</si>
  <si>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</si>
  <si>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</si>
  <si>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</si>
  <si>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</si>
  <si>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</si>
  <si>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</si>
  <si>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</si>
  <si>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</si>
  <si>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</si>
  <si>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</si>
  <si>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</si>
  <si>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</si>
  <si>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</si>
  <si>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</si>
  <si>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</si>
  <si>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</si>
  <si>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</si>
  <si>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</si>
  <si>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</si>
  <si>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</si>
  <si>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</si>
  <si>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</si>
  <si>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</si>
  <si>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</si>
  <si>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</si>
  <si>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</si>
  <si>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</si>
  <si>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</si>
  <si>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</si>
  <si>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</si>
  <si>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</si>
  <si>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</si>
  <si>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</si>
  <si>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</si>
  <si>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</si>
  <si>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</si>
  <si>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</si>
  <si>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</si>
  <si>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</si>
  <si>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</si>
  <si>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</si>
  <si>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</si>
  <si>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</si>
  <si>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</si>
  <si>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</si>
  <si>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</si>
  <si>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</si>
  <si>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</si>
  <si>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</si>
  <si>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</si>
  <si>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</si>
  <si>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</si>
  <si>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</si>
  <si>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</si>
  <si>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</si>
  <si>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</si>
  <si>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</si>
  <si>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</si>
  <si>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</si>
  <si>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</si>
  <si>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</si>
  <si>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</si>
  <si>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</si>
  <si>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</si>
  <si>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</si>
  <si>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</si>
  <si>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</si>
  <si>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</si>
  <si>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</si>
  <si>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</si>
  <si>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</si>
  <si>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</si>
  <si>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</si>
  <si>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</si>
  <si>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</si>
  <si>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</si>
  <si>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</si>
  <si>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</si>
  <si>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</si>
  <si>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</si>
  <si>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</si>
  <si>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</si>
  <si>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</si>
  <si>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</si>
  <si>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</si>
  <si>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</si>
  <si>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</si>
  <si>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</si>
  <si>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</si>
  <si>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</si>
  <si>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</si>
  <si>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</si>
  <si>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</si>
  <si>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</si>
  <si>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</si>
  <si>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</si>
  <si>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</si>
  <si>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</si>
  <si>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</si>
  <si>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</si>
  <si>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</si>
  <si>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</si>
  <si>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</si>
  <si>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</si>
  <si>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</si>
  <si>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</si>
  <si>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</si>
  <si>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</si>
  <si>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</si>
  <si>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</si>
  <si>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</si>
  <si>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</si>
  <si>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</si>
  <si>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</si>
  <si>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</si>
  <si>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</si>
  <si>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</si>
  <si>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</si>
  <si>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</si>
  <si>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</si>
  <si>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</si>
  <si>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</si>
  <si>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</si>
  <si>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</si>
  <si>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</si>
  <si>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</si>
  <si>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</si>
  <si>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</si>
  <si>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</si>
  <si>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</si>
  <si>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</si>
  <si>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</si>
  <si>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</si>
  <si>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</si>
  <si>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</si>
  <si>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</si>
  <si>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</si>
  <si>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</si>
  <si>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</si>
  <si>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</si>
  <si>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</si>
  <si>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</si>
  <si>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</si>
  <si>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</si>
  <si>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</si>
  <si>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</si>
  <si>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</si>
  <si>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</si>
  <si>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</si>
  <si>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</si>
  <si>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</si>
  <si>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</si>
  <si>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</si>
  <si>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</si>
  <si>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</si>
  <si>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</si>
  <si>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</si>
  <si>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</si>
  <si>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</si>
  <si>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</si>
  <si>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</si>
  <si>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</si>
  <si>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</si>
  <si>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</si>
  <si>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</si>
  <si>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</si>
  <si>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</si>
  <si>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</si>
  <si>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</si>
  <si>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</si>
  <si>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</si>
  <si>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</si>
  <si>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</si>
  <si>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</si>
  <si>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</si>
  <si>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</si>
  <si>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</si>
  <si>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</si>
  <si>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</si>
  <si>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</si>
  <si>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</si>
  <si>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</si>
  <si>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</si>
  <si>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</si>
  <si>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</si>
  <si>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</si>
  <si>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</si>
  <si>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</si>
  <si>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</si>
  <si>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</si>
  <si>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</si>
  <si>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</si>
  <si>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</si>
  <si>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</si>
  <si>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</si>
  <si>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</si>
  <si>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</si>
  <si>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</si>
  <si>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</si>
  <si>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</si>
  <si>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</si>
  <si>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</si>
  <si>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</si>
  <si>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</si>
  <si>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</si>
  <si>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</si>
  <si>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</si>
  <si>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</si>
  <si>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</si>
  <si>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</si>
  <si>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</si>
  <si>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</si>
  <si>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</si>
  <si>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</si>
  <si>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</si>
  <si>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</si>
  <si>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</si>
  <si>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</si>
  <si>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</si>
  <si>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</si>
  <si>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</si>
  <si>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</si>
  <si>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</si>
  <si>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</si>
  <si>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</si>
  <si>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</si>
  <si>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</si>
  <si>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</si>
  <si>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</si>
  <si>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</si>
  <si>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</si>
  <si>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</si>
  <si>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</si>
  <si>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</si>
  <si>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</si>
  <si>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</si>
  <si>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</si>
  <si>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</si>
  <si>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</si>
  <si>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</si>
  <si>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</si>
  <si>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</si>
  <si>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</si>
  <si>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</si>
  <si>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</si>
  <si>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</si>
  <si>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</si>
  <si>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</si>
  <si>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</si>
  <si>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</si>
  <si>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</si>
  <si>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</si>
  <si>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</si>
  <si>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</si>
  <si>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</si>
  <si>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</si>
  <si>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</si>
  <si>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</si>
  <si>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</si>
  <si>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</si>
  <si>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</si>
  <si>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</si>
  <si>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</si>
  <si>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</si>
  <si>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</si>
  <si>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</si>
  <si>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</si>
  <si>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</si>
  <si>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</si>
  <si>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</si>
  <si>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</si>
  <si>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</si>
  <si>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</si>
  <si>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</si>
  <si>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</si>
  <si>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</si>
  <si>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</si>
  <si>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</si>
  <si>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</si>
  <si>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</si>
  <si>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</si>
  <si>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</si>
  <si>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</si>
  <si>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</si>
  <si>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</si>
  <si>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</si>
  <si>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</si>
  <si>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</si>
  <si>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</si>
  <si>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</si>
  <si>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</si>
  <si>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</si>
  <si>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</si>
  <si>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</si>
  <si>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</si>
  <si>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</si>
  <si>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</si>
  <si>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</si>
  <si>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</si>
  <si>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</si>
  <si>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</si>
  <si>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</si>
  <si>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</si>
  <si>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</si>
  <si>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</si>
  <si>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</si>
  <si>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</si>
  <si>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</si>
  <si>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</si>
  <si>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</si>
  <si>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</si>
  <si>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</si>
  <si>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</si>
  <si>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</si>
  <si>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</si>
  <si>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</si>
  <si>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</si>
  <si>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</si>
  <si>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</si>
  <si>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</si>
  <si>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</si>
  <si>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</si>
  <si>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</si>
  <si>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</si>
  <si>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</si>
  <si>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</si>
  <si>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</si>
  <si>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</si>
  <si>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</si>
  <si>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</si>
  <si>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</si>
  <si>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</si>
  <si>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</si>
  <si>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</si>
  <si>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</si>
  <si>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</si>
  <si>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</si>
  <si>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</si>
  <si>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</si>
  <si>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</si>
  <si>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</si>
  <si>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</si>
  <si>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</si>
  <si>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</si>
  <si>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</si>
  <si>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</si>
  <si>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</si>
  <si>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</si>
  <si>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</si>
  <si>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</si>
  <si>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</si>
  <si>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</si>
  <si>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</si>
  <si>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</si>
  <si>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</si>
  <si>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</si>
  <si>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</si>
  <si>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</si>
  <si>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</si>
  <si>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</si>
  <si>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</si>
  <si>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</si>
  <si>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</si>
  <si>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</si>
  <si>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</si>
  <si>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</si>
  <si>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</si>
  <si>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</si>
  <si>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</si>
  <si>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</si>
  <si>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</si>
  <si>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</si>
  <si>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</si>
  <si>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</si>
  <si>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</si>
  <si>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</si>
  <si>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</si>
  <si>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</si>
  <si>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</si>
  <si>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</si>
  <si>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</si>
  <si>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</si>
  <si>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</si>
  <si>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</si>
  <si>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</si>
  <si>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</si>
  <si>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</si>
  <si>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</si>
  <si>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</si>
  <si>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</si>
  <si>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</si>
  <si>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</si>
  <si>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</si>
  <si>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</si>
  <si>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</si>
  <si>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</si>
  <si>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</si>
  <si>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</si>
  <si>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</si>
  <si>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</si>
  <si>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</si>
  <si>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</si>
  <si>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</si>
  <si>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</si>
  <si>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</si>
  <si>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</si>
  <si>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</si>
  <si>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</si>
  <si>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</si>
  <si>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</si>
  <si>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</si>
  <si>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</si>
  <si>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</si>
  <si>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</si>
  <si>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</si>
  <si>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</si>
  <si>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</si>
  <si>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</si>
  <si>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</si>
  <si>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</si>
  <si>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</si>
  <si>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</si>
  <si>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</si>
  <si>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</si>
  <si>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</si>
  <si>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</si>
  <si>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</si>
  <si>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</si>
  <si>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</si>
  <si>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</si>
  <si>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</si>
  <si>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</si>
  <si>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</si>
  <si>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</si>
  <si>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</si>
  <si>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</si>
  <si>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</si>
  <si>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</si>
  <si>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</si>
  <si>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</si>
  <si>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</si>
  <si>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</si>
  <si>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</si>
  <si>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</si>
  <si>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</si>
  <si>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</si>
  <si>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</si>
  <si>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</si>
  <si>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</si>
  <si>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</si>
  <si>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</si>
  <si>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</si>
  <si>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</si>
  <si>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</si>
  <si>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</si>
  <si>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</si>
  <si>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</si>
  <si>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</si>
  <si>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</si>
  <si>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</si>
  <si>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</si>
  <si>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</si>
  <si>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</si>
  <si>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</si>
  <si>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</si>
  <si>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</si>
  <si>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</si>
  <si>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</si>
  <si>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</si>
  <si>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</si>
  <si>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</si>
  <si>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</si>
  <si>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</si>
  <si>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</si>
  <si>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</si>
  <si>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</si>
  <si>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</si>
  <si>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</si>
  <si>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</si>
  <si>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</si>
  <si>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</si>
  <si>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</si>
  <si>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</si>
  <si>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</si>
  <si>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</si>
  <si>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</si>
  <si>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</si>
  <si>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</si>
  <si>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</si>
  <si>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</si>
  <si>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</si>
  <si>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</si>
  <si>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</si>
  <si>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</si>
  <si>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</si>
  <si>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</si>
  <si>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</si>
  <si>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</si>
  <si>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</si>
  <si>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</si>
  <si>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</si>
  <si>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</si>
  <si>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</si>
  <si>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</si>
  <si>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</si>
  <si>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</si>
  <si>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</si>
  <si>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</si>
  <si>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</si>
  <si>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</si>
  <si>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</si>
  <si>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</si>
  <si>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</si>
  <si>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</si>
  <si>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</si>
  <si>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</si>
  <si>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</si>
  <si>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</si>
  <si>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</si>
  <si>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</si>
  <si>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</si>
  <si>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</si>
  <si>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</si>
  <si>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</si>
  <si>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</si>
  <si>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</si>
  <si>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</si>
  <si>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</si>
  <si>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</si>
  <si>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</si>
  <si>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</si>
  <si>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</si>
  <si>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</si>
  <si>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</si>
  <si>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</si>
  <si>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</si>
  <si>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</si>
  <si>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</si>
  <si>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</si>
  <si>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</si>
  <si>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</si>
  <si>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</si>
  <si>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</si>
  <si>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</si>
  <si>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</si>
  <si>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</si>
  <si>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</si>
  <si>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</si>
  <si>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</si>
  <si>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</si>
  <si>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</si>
  <si>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</si>
  <si>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</si>
  <si>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</si>
  <si>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</si>
  <si>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</si>
  <si>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</si>
  <si>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</si>
  <si>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</si>
  <si>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</si>
  <si>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</si>
  <si>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</si>
  <si>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</si>
  <si>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</si>
  <si>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</si>
  <si>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</si>
  <si>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</si>
  <si>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</si>
  <si>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</si>
  <si>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</si>
  <si>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</si>
  <si>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</si>
  <si>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</si>
  <si>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</si>
  <si>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</si>
  <si>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</si>
  <si>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</si>
  <si>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</si>
  <si>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</si>
  <si>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</si>
  <si>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</si>
  <si>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</si>
  <si>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</si>
  <si>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</si>
  <si>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</si>
  <si>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</si>
  <si>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</si>
  <si>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</si>
  <si>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</si>
  <si>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</si>
  <si>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</si>
  <si>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</si>
  <si>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</si>
  <si>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</si>
  <si>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</si>
  <si>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</si>
  <si>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</si>
  <si>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</si>
  <si>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</si>
  <si>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</si>
  <si>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</si>
  <si>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</si>
  <si>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</si>
  <si>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</si>
  <si>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</si>
  <si>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</si>
  <si>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</si>
  <si>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</si>
  <si>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</si>
  <si>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</si>
  <si>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</si>
  <si>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</si>
  <si>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</si>
  <si>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</si>
  <si>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</si>
  <si>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</si>
  <si>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</si>
  <si>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</si>
  <si>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</si>
  <si>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</si>
  <si>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</si>
  <si>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</si>
  <si>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</si>
  <si>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</si>
  <si>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</si>
  <si>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</si>
  <si>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</si>
  <si>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</si>
  <si>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</si>
  <si>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</si>
  <si>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</si>
  <si>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</si>
  <si>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</si>
  <si>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</si>
  <si>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</si>
  <si>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</si>
  <si>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</si>
  <si>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</si>
  <si>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</si>
  <si>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</si>
  <si>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</si>
  <si>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</si>
  <si>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</si>
  <si>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</si>
  <si>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</si>
  <si>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</si>
  <si>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</si>
  <si>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</si>
  <si>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</si>
  <si>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</si>
  <si>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</si>
  <si>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</si>
  <si>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</si>
  <si>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</si>
  <si>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</si>
  <si>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</si>
  <si>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</si>
  <si>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</si>
  <si>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</si>
  <si>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</si>
  <si>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</si>
  <si>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</si>
  <si>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</si>
  <si>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</si>
  <si>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</si>
  <si>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</si>
  <si>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</si>
  <si>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</si>
  <si>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</si>
  <si>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</si>
  <si>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</si>
  <si>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</si>
  <si>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</si>
  <si>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</si>
  <si>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</si>
  <si>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</si>
  <si>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</si>
  <si>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</si>
  <si>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</si>
  <si>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</si>
  <si>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</si>
  <si>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</si>
  <si>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</si>
  <si>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</si>
  <si>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</si>
  <si>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</si>
  <si>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</si>
  <si>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</si>
  <si>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</si>
  <si>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</si>
  <si>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</si>
  <si>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</si>
  <si>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</si>
  <si>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</si>
  <si>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</si>
  <si>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</si>
  <si>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</si>
  <si>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</si>
  <si>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</si>
  <si>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</si>
  <si>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</si>
  <si>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</si>
  <si>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</si>
  <si>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</si>
  <si>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</si>
  <si>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</si>
  <si>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</si>
  <si>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</si>
  <si>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</si>
  <si>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</si>
  <si>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</si>
  <si>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</si>
  <si>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</si>
  <si>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</si>
  <si>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</si>
  <si>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</si>
  <si>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</si>
  <si>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</si>
  <si>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</si>
  <si>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</si>
  <si>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</si>
  <si>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</si>
  <si>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</si>
  <si>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</si>
  <si>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</si>
  <si>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</si>
  <si>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</si>
  <si>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</si>
  <si>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</si>
  <si>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</si>
  <si>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</si>
  <si>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</si>
  <si>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</si>
  <si>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</si>
  <si>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</si>
  <si>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</si>
  <si>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</si>
  <si>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</si>
  <si>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</si>
  <si>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</si>
  <si>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</si>
  <si>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</si>
  <si>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</si>
  <si>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</si>
  <si>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</si>
  <si>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</si>
  <si>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</si>
  <si>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</si>
  <si>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</si>
  <si>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</si>
  <si>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</si>
  <si>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</si>
  <si>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</si>
  <si>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</si>
  <si>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</si>
  <si>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</si>
  <si>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</si>
  <si>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</si>
  <si>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</si>
  <si>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</si>
  <si>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</si>
  <si>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</si>
  <si>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</si>
  <si>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</si>
  <si>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</si>
  <si>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</si>
  <si>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</si>
  <si>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</si>
  <si>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</si>
  <si>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</si>
  <si>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</si>
  <si>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</si>
  <si>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</si>
  <si>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</si>
  <si>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</si>
  <si>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</si>
  <si>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</si>
  <si>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</si>
  <si>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</si>
  <si>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</si>
  <si>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</si>
  <si>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</si>
  <si>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</si>
  <si>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</si>
  <si>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</si>
  <si>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</si>
  <si>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</si>
  <si>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</si>
  <si>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</si>
  <si>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</si>
  <si>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</si>
  <si>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</si>
  <si>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</si>
  <si>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</si>
  <si>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</si>
  <si>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</si>
  <si>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</si>
  <si>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</si>
  <si>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</si>
  <si>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</si>
  <si>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</si>
  <si>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</si>
  <si>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</si>
  <si>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</si>
  <si>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</si>
  <si>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</si>
  <si>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</si>
  <si>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</si>
  <si>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</si>
  <si>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</si>
  <si>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</si>
  <si>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</si>
  <si>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</si>
  <si>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</si>
  <si>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</si>
  <si>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</si>
  <si>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</si>
  <si>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</si>
  <si>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</si>
  <si>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</si>
  <si>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</si>
  <si>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</si>
  <si>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</si>
  <si>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</si>
  <si>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</si>
  <si>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</si>
  <si>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</si>
  <si>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</si>
  <si>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</si>
  <si>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</si>
  <si>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</si>
  <si>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</si>
  <si>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</si>
  <si>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</si>
  <si>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</si>
  <si>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</si>
  <si>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</si>
  <si>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</si>
  <si>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</si>
  <si>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</si>
  <si>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</si>
  <si>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</si>
  <si>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</si>
  <si>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</si>
  <si>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</si>
  <si>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</si>
  <si>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</si>
  <si>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</si>
  <si>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</si>
  <si>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</si>
  <si>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</si>
  <si>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</si>
  <si>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</si>
  <si>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</si>
  <si>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</si>
  <si>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</si>
  <si>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</si>
  <si>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</si>
  <si>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</si>
  <si>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</si>
  <si>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</si>
  <si>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</si>
  <si>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</si>
  <si>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</si>
  <si>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</si>
  <si>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</si>
  <si>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</si>
  <si>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</si>
  <si>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</si>
  <si>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</si>
  <si>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</si>
  <si>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</si>
  <si>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</si>
  <si>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</si>
  <si>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</si>
  <si>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</si>
  <si>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</si>
  <si>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</si>
  <si>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</si>
  <si>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</si>
  <si>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</si>
  <si>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</si>
  <si>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</si>
  <si>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</si>
  <si>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</si>
  <si>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</si>
  <si>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</si>
  <si>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</si>
  <si>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</si>
  <si>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</si>
  <si>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</si>
  <si>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</si>
  <si>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</si>
  <si>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</si>
  <si>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</si>
  <si>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</si>
  <si>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</si>
  <si>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</si>
  <si>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</si>
  <si>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</si>
  <si>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</si>
  <si>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</si>
  <si>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</si>
  <si>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</si>
  <si>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</si>
  <si>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</si>
  <si>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</si>
  <si>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</si>
  <si>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</si>
  <si>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</si>
  <si>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</si>
  <si>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</si>
  <si>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</si>
  <si>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</si>
  <si>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</si>
  <si>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</si>
  <si>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</si>
  <si>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</si>
  <si>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</si>
  <si>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</si>
  <si>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</si>
  <si>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</si>
  <si>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</si>
  <si>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</si>
  <si>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</si>
  <si>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</si>
  <si>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</si>
  <si>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</si>
  <si>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</si>
  <si>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</si>
  <si>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</si>
  <si>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</si>
  <si>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</si>
  <si>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</si>
  <si>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</si>
  <si>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</si>
  <si>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</si>
  <si>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</si>
  <si>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</si>
  <si>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</si>
  <si>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</si>
  <si>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</si>
  <si>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</si>
  <si>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</si>
  <si>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</si>
  <si>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</si>
  <si>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</si>
  <si>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</si>
  <si>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</si>
  <si>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</si>
  <si>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</si>
  <si>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</si>
  <si>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</si>
  <si>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</si>
  <si>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</si>
  <si>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</si>
  <si>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</si>
  <si>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</si>
  <si>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</si>
  <si>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</si>
  <si>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</si>
  <si>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</si>
  <si>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</si>
  <si>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</si>
  <si>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</si>
  <si>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</si>
  <si>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</si>
  <si>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</si>
  <si>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</si>
  <si>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</si>
  <si>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</si>
  <si>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</si>
  <si>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</si>
  <si>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</si>
  <si>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</si>
  <si>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</si>
  <si>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</si>
  <si>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</si>
  <si>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</si>
  <si>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</si>
  <si>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</si>
  <si>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</si>
  <si>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</si>
  <si>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</si>
  <si>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</si>
  <si>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</si>
  <si>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</si>
  <si>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</si>
  <si>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</si>
  <si>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</si>
  <si>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</si>
  <si>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</si>
  <si>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</si>
  <si>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</si>
  <si>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</si>
  <si>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</si>
  <si>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</si>
  <si>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</si>
  <si>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</si>
  <si>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</si>
  <si>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</si>
  <si>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</si>
  <si>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</si>
  <si>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</si>
  <si>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</si>
  <si>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</si>
  <si>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</si>
  <si>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</si>
  <si>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</si>
  <si>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</si>
  <si>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</si>
  <si>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</si>
  <si>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</si>
  <si>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</si>
  <si>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</si>
  <si>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</si>
  <si>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</si>
  <si>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</si>
  <si>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</si>
  <si>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</si>
  <si>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</si>
  <si>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</si>
  <si>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</si>
  <si>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</si>
  <si>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</si>
  <si>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</si>
  <si>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</si>
  <si>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</si>
  <si>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</si>
  <si>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</si>
  <si>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</si>
  <si>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</si>
  <si>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</si>
  <si>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</si>
  <si>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</si>
  <si>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</si>
  <si>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</si>
  <si>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</si>
  <si>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</si>
  <si>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</si>
  <si>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</si>
  <si>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</si>
  <si>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</si>
  <si>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</si>
  <si>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</si>
  <si>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</si>
  <si>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</si>
  <si>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</si>
  <si>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</si>
  <si>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</si>
  <si>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</si>
  <si>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</si>
  <si>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</si>
  <si>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</si>
  <si>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</si>
  <si>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</si>
  <si>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</si>
  <si>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</si>
  <si>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</si>
  <si>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</si>
  <si>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</si>
  <si>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</si>
  <si>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</si>
  <si>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</si>
  <si>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</si>
  <si>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</si>
  <si>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</si>
  <si>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</si>
  <si>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</si>
  <si>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</si>
  <si>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</si>
  <si>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</si>
  <si>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</si>
  <si>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</si>
  <si>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</si>
  <si>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</si>
  <si>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</si>
  <si>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</si>
  <si>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</si>
  <si>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</si>
  <si>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</si>
  <si>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</si>
  <si>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</si>
  <si>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</si>
  <si>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</si>
  <si>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</si>
  <si>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</si>
  <si>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</si>
  <si>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</si>
  <si>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</si>
  <si>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</si>
  <si>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</si>
  <si>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</si>
  <si>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</si>
  <si>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</si>
  <si>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</si>
  <si>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</si>
  <si>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</si>
  <si>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</si>
  <si>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</si>
  <si>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</si>
  <si>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</si>
  <si>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</si>
  <si>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</si>
  <si>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</si>
  <si>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</si>
  <si>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</si>
  <si>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</si>
  <si>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</si>
  <si>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</si>
  <si>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</si>
  <si>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</si>
  <si>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</si>
  <si>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</si>
  <si>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</si>
  <si>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</si>
  <si>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</si>
  <si>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</si>
  <si>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</si>
  <si>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</si>
  <si>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</si>
  <si>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</si>
  <si>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</si>
  <si>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</si>
  <si>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</si>
  <si>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</si>
  <si>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</si>
  <si>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</si>
  <si>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</si>
  <si>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</si>
  <si>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</si>
  <si>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</si>
  <si>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</si>
  <si>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</si>
  <si>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</si>
  <si>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</si>
  <si>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</si>
  <si>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</si>
  <si>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</si>
  <si>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</si>
  <si>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</si>
  <si>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</si>
  <si>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</si>
  <si>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</si>
  <si>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</si>
  <si>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</si>
  <si>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</si>
  <si>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</si>
  <si>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</si>
  <si>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</si>
  <si>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</si>
  <si>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</si>
  <si>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</si>
  <si>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</si>
  <si>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</si>
  <si>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</si>
  <si>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</si>
  <si>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</si>
  <si>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</si>
  <si>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</si>
  <si>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</si>
  <si>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</si>
  <si>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</si>
  <si>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</si>
  <si>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</si>
  <si>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</si>
  <si>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</si>
  <si>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</si>
  <si>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</si>
  <si>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</si>
  <si>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</si>
  <si>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</si>
  <si>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</si>
  <si>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</si>
  <si>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</si>
  <si>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</si>
  <si>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</si>
  <si>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</si>
  <si>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</si>
  <si>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</si>
  <si>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</si>
  <si>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</si>
  <si>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</si>
  <si>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</si>
  <si>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</si>
  <si>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</si>
  <si>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</si>
  <si>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</si>
  <si>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</si>
  <si>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</si>
  <si>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</si>
  <si>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</si>
  <si>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</si>
  <si>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</si>
  <si>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</si>
  <si>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</si>
  <si>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</si>
  <si>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</si>
  <si>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</si>
  <si>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</si>
  <si>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</si>
  <si>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</si>
  <si>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</si>
  <si>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</si>
  <si>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</si>
  <si>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</si>
  <si>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</si>
  <si>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</si>
  <si>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</si>
  <si>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</si>
  <si>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</si>
  <si>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</si>
  <si>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</si>
  <si>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</si>
  <si>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</si>
  <si>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</si>
  <si>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</si>
  <si>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</si>
  <si>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</si>
  <si>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</si>
  <si>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</si>
  <si>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</si>
  <si>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</si>
  <si>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</si>
  <si>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</si>
  <si>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</si>
  <si>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</si>
  <si>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</si>
  <si>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</si>
  <si>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</si>
  <si>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</si>
  <si>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</si>
  <si>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</si>
  <si>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</si>
  <si>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</si>
  <si>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</si>
  <si>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</si>
  <si>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</si>
  <si>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</si>
  <si>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</si>
  <si>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</si>
  <si>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</si>
  <si>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</si>
  <si>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</si>
  <si>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</si>
  <si>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</si>
  <si>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</si>
  <si>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</si>
  <si>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</si>
  <si>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</si>
  <si>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</si>
  <si>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</si>
  <si>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</si>
  <si>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</si>
  <si>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</si>
  <si>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</si>
  <si>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</si>
  <si>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</si>
  <si>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</si>
  <si>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</si>
  <si>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</si>
  <si>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</si>
  <si>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</si>
  <si>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</si>
  <si>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</si>
  <si>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</si>
  <si>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</si>
  <si>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</si>
  <si>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</si>
  <si>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</si>
  <si>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</si>
  <si>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</si>
  <si>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</si>
  <si>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</si>
  <si>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</si>
  <si>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</si>
  <si>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</si>
  <si>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</si>
  <si>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</si>
  <si>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</si>
  <si>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</si>
  <si>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</si>
  <si>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</si>
  <si>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</si>
  <si>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</si>
  <si>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</si>
  <si>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</si>
  <si>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</si>
  <si>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</si>
  <si>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</si>
  <si>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</si>
  <si>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</si>
  <si>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</si>
  <si>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</si>
  <si>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</si>
  <si>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</si>
  <si>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</si>
  <si>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</si>
  <si>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</si>
  <si>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</si>
  <si>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</si>
  <si>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</si>
  <si>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</si>
  <si>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</si>
  <si>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</si>
  <si>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</si>
  <si>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</si>
  <si>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</si>
  <si>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</si>
  <si>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</si>
  <si>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</si>
  <si>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</si>
  <si>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</si>
  <si>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</si>
  <si>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</si>
  <si>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</si>
  <si>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</si>
  <si>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</si>
  <si>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</si>
  <si>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</si>
  <si>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</si>
  <si>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</si>
  <si>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</si>
  <si>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</si>
  <si>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</si>
  <si>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</si>
  <si>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</si>
  <si>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</si>
  <si>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</si>
  <si>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</si>
  <si>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</si>
  <si>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</si>
  <si>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</si>
  <si>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</si>
  <si>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</si>
  <si>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</si>
  <si>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</si>
  <si>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</si>
  <si>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</si>
  <si>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</si>
  <si>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</si>
  <si>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</si>
  <si>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</si>
  <si>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</si>
  <si>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</si>
  <si>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</si>
  <si>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</si>
  <si>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</si>
  <si>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</si>
  <si>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</si>
  <si>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</si>
  <si>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</si>
  <si>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</si>
  <si>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</si>
  <si>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</si>
  <si>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</si>
  <si>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</si>
  <si>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</si>
  <si>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</si>
  <si>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</si>
  <si>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</si>
  <si>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</si>
  <si>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</si>
  <si>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</si>
  <si>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</si>
  <si>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</si>
  <si>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</si>
  <si>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</si>
  <si>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</si>
  <si>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</si>
  <si>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</si>
  <si>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</si>
  <si>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</si>
  <si>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</si>
  <si>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</si>
  <si>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</si>
  <si>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</si>
  <si>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</si>
  <si>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</si>
  <si>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</si>
  <si>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</si>
  <si>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</si>
  <si>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</si>
  <si>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</si>
  <si>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</si>
  <si>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</si>
  <si>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</si>
  <si>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</si>
  <si>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</si>
  <si>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</si>
  <si>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</si>
  <si>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</si>
  <si>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</si>
  <si>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</si>
  <si>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</si>
  <si>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</si>
  <si>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</si>
  <si>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</si>
  <si>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</si>
  <si>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</si>
  <si>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</si>
  <si>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</si>
  <si>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</si>
  <si>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</si>
  <si>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</si>
  <si>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</si>
  <si>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</si>
  <si>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</si>
  <si>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</si>
  <si>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</si>
  <si>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</si>
  <si>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</si>
  <si>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</si>
  <si>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</si>
  <si>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</si>
  <si>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</si>
  <si>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</si>
  <si>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</si>
  <si>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</si>
  <si>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</si>
  <si>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</si>
  <si>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</si>
  <si>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</si>
  <si>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</si>
  <si>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</si>
  <si>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</si>
  <si>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</si>
  <si>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</si>
  <si>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</si>
  <si>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</si>
  <si>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</si>
  <si>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</si>
  <si>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</si>
  <si>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</si>
  <si>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</si>
  <si>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</si>
  <si>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</si>
  <si>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</si>
  <si>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</si>
  <si>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</si>
  <si>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</si>
  <si>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</si>
  <si>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</si>
  <si>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</si>
  <si>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</si>
  <si>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</si>
  <si>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</si>
  <si>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</si>
  <si>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</si>
  <si>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</si>
  <si>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</si>
  <si>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</si>
  <si>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</si>
  <si>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</si>
  <si>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</si>
  <si>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</si>
  <si>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</si>
  <si>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</si>
  <si>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</si>
  <si>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</si>
  <si>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</si>
  <si>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</si>
  <si>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</si>
  <si>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</si>
  <si>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</si>
  <si>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</si>
  <si>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</si>
  <si>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</si>
  <si>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</si>
  <si>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</si>
  <si>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</si>
  <si>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</si>
  <si>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</si>
  <si>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</si>
  <si>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</si>
  <si>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</si>
  <si>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</si>
  <si>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</si>
  <si>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</si>
  <si>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</si>
  <si>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</si>
  <si>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</si>
  <si>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</si>
  <si>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</si>
  <si>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</si>
  <si>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</si>
  <si>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</si>
  <si>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</si>
  <si>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</si>
  <si>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</si>
  <si>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</si>
  <si>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</si>
  <si>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</si>
  <si>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</si>
  <si>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</si>
  <si>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</si>
  <si>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</si>
  <si>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</si>
  <si>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</si>
  <si>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</si>
  <si>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</si>
  <si>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</si>
  <si>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</si>
  <si>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</si>
  <si>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</si>
  <si>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</si>
  <si>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</si>
  <si>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</si>
  <si>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</si>
  <si>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</si>
  <si>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</si>
  <si>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</si>
  <si>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</si>
  <si>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</si>
  <si>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</si>
  <si>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</si>
  <si>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</si>
  <si>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</si>
  <si>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</si>
  <si>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</si>
  <si>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</si>
  <si>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</si>
  <si>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</si>
  <si>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</si>
  <si>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</si>
  <si>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</si>
  <si>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</si>
  <si>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</si>
  <si>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</si>
  <si>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</si>
  <si>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</si>
  <si>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</si>
  <si>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</si>
  <si>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</si>
  <si>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</si>
  <si>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</si>
  <si>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</si>
  <si>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</si>
  <si>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</si>
  <si>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</si>
  <si>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</si>
  <si>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</si>
  <si>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</si>
  <si>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</si>
  <si>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</si>
  <si>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</si>
  <si>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</si>
  <si>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</si>
  <si>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</si>
  <si>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</si>
  <si>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</si>
  <si>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</si>
  <si>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</si>
  <si>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</si>
  <si>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</si>
  <si>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</si>
  <si>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</si>
  <si>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</si>
  <si>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</si>
  <si>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</si>
  <si>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</si>
  <si>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</si>
  <si>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</si>
  <si>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</si>
  <si>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</si>
  <si>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</si>
  <si>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</si>
  <si>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</si>
  <si>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</si>
  <si>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</si>
  <si>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</si>
  <si>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</si>
  <si>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</si>
  <si>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</si>
  <si>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</si>
  <si>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</si>
  <si>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</si>
  <si>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</si>
  <si>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</si>
  <si>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</si>
  <si>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</si>
  <si>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</si>
  <si>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</si>
  <si>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</si>
  <si>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</si>
  <si>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</si>
  <si>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</si>
  <si>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</si>
  <si>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</si>
  <si>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</si>
  <si>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</si>
  <si>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</si>
  <si>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</si>
  <si>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</si>
  <si>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</si>
  <si>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</si>
  <si>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</si>
  <si>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</si>
  <si>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</si>
  <si>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</si>
  <si>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</si>
  <si>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</si>
  <si>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</si>
  <si>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</si>
  <si>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</si>
  <si>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</si>
  <si>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</si>
  <si>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</si>
  <si>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</si>
  <si>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</si>
  <si>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</si>
  <si>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</si>
  <si>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</si>
  <si>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</si>
  <si>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</si>
  <si>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</si>
  <si>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</si>
  <si>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</si>
  <si>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</si>
  <si>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</si>
  <si>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</si>
  <si>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</si>
  <si>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</si>
  <si>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</si>
  <si>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</si>
  <si>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</si>
  <si>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</si>
  <si>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</si>
  <si>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</si>
  <si>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</si>
  <si>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</si>
  <si>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</si>
  <si>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</si>
  <si>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</si>
  <si>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</si>
  <si>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</si>
  <si>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</si>
  <si>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</si>
  <si>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</si>
  <si>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</si>
  <si>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</si>
  <si>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</si>
  <si>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</si>
  <si>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</si>
  <si>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</si>
  <si>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</si>
  <si>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</si>
  <si>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</si>
  <si>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</si>
  <si>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</si>
  <si>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</si>
  <si>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</si>
  <si>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</si>
  <si>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</si>
  <si>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</si>
  <si>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</si>
  <si>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</si>
  <si>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</si>
  <si>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</si>
  <si>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</si>
  <si>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</si>
  <si>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</si>
  <si>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</si>
  <si>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</si>
  <si>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</si>
  <si>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</si>
  <si>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</si>
  <si>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</si>
  <si>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</si>
  <si>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</si>
  <si>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</si>
  <si>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</si>
  <si>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</si>
  <si>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</si>
  <si>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</si>
  <si>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</si>
  <si>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</si>
  <si>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</si>
  <si>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</si>
  <si>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</si>
  <si>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</si>
  <si>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</si>
  <si>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</si>
  <si>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</si>
  <si>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</si>
  <si>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</si>
  <si>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</si>
  <si>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</si>
  <si>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</si>
  <si>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</si>
  <si>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</si>
  <si>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</si>
  <si>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</si>
  <si>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</si>
  <si>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</si>
  <si>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</si>
  <si>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</si>
  <si>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</si>
  <si>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</si>
  <si>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</si>
  <si>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</si>
  <si>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</si>
  <si>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</si>
  <si>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</si>
  <si>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</si>
  <si>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</si>
  <si>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</si>
  <si>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</si>
  <si>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</si>
  <si>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</si>
  <si>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</si>
  <si>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</si>
  <si>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</si>
  <si>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</si>
  <si>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</si>
  <si>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</si>
  <si>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</si>
  <si>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</si>
  <si>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</si>
  <si>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</si>
  <si>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</si>
  <si>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</si>
  <si>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</si>
  <si>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</si>
  <si>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</si>
  <si>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</si>
  <si>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</si>
  <si>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</si>
  <si>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</si>
  <si>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</si>
  <si>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</si>
  <si>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</si>
  <si>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</si>
  <si>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</si>
  <si>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</si>
  <si>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</si>
  <si>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</si>
  <si>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</si>
  <si>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</si>
  <si>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</si>
  <si>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</si>
  <si>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</si>
  <si>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</si>
  <si>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</si>
  <si>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</si>
  <si>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</si>
  <si>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</si>
  <si>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</si>
  <si>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</si>
  <si>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</si>
  <si>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</si>
  <si>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</si>
  <si>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</si>
  <si>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</si>
  <si>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</si>
  <si>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</si>
  <si>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</si>
  <si>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</si>
  <si>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</si>
  <si>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</si>
  <si>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</si>
  <si>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</si>
  <si>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</si>
  <si>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</si>
  <si>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</si>
  <si>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</si>
  <si>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</si>
  <si>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</si>
  <si>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</si>
  <si>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</si>
  <si>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</si>
  <si>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</si>
  <si>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</si>
  <si>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</si>
  <si>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</si>
  <si>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</si>
  <si>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</si>
  <si>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</si>
  <si>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</si>
  <si>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</si>
  <si>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</si>
  <si>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</si>
  <si>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</si>
  <si>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</si>
  <si>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</si>
  <si>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</si>
  <si>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</si>
  <si>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</si>
  <si>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</si>
  <si>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</si>
  <si>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</si>
  <si>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</si>
  <si>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</si>
  <si>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</si>
  <si>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</si>
  <si>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</si>
  <si>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</si>
  <si>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</si>
  <si>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</si>
  <si>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</si>
  <si>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</si>
  <si>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</si>
  <si>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</si>
  <si>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</si>
  <si>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</si>
  <si>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</si>
  <si>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</si>
  <si>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</si>
  <si>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</si>
  <si>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</si>
  <si>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</si>
  <si>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</si>
  <si>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</si>
  <si>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</si>
  <si>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</si>
  <si>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</si>
  <si>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</si>
  <si>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</si>
  <si>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</si>
  <si>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</si>
  <si>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</si>
  <si>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</si>
  <si>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</si>
  <si>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</si>
  <si>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</si>
  <si>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</si>
  <si>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</si>
  <si>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</si>
  <si>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</si>
  <si>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</si>
  <si>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</si>
  <si>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</si>
  <si>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</si>
  <si>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</si>
  <si>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</si>
  <si>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</si>
  <si>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</si>
  <si>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</si>
  <si>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</si>
  <si>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</si>
  <si>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</si>
  <si>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</si>
  <si>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</si>
  <si>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</si>
  <si>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</si>
  <si>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</si>
  <si>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</si>
  <si>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</si>
  <si>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</si>
  <si>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</si>
  <si>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</si>
  <si>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</si>
  <si>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</si>
  <si>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</si>
  <si>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</si>
  <si>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</si>
  <si>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</si>
  <si>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</si>
  <si>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</si>
  <si>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</si>
  <si>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</si>
  <si>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</si>
  <si>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</si>
  <si>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</si>
  <si>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</si>
  <si>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</si>
  <si>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</si>
  <si>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</si>
  <si>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</si>
  <si>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</si>
  <si>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</si>
  <si>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</si>
  <si>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</si>
  <si>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</si>
  <si>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</si>
  <si>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</si>
  <si>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</si>
  <si>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</si>
  <si>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</si>
  <si>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</si>
  <si>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</si>
  <si>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</si>
  <si>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</si>
  <si>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</si>
  <si>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</si>
  <si>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</si>
  <si>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</si>
  <si>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</si>
  <si>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</si>
  <si>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</si>
  <si>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</si>
  <si>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</si>
  <si>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</si>
  <si>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</si>
  <si>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</si>
  <si>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</si>
  <si>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</si>
  <si>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</si>
  <si>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</si>
  <si>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</si>
  <si>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</si>
  <si>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</si>
  <si>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</si>
  <si>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</si>
  <si>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</si>
  <si>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</si>
  <si>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</si>
  <si>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</si>
  <si>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</si>
  <si>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</si>
  <si>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</si>
  <si>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</si>
  <si>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</si>
  <si>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</si>
  <si>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</si>
  <si>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</si>
  <si>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</si>
  <si>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</si>
  <si>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</si>
  <si>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</si>
  <si>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</si>
  <si>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</si>
  <si>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</si>
  <si>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</si>
  <si>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</si>
  <si>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</si>
  <si>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</si>
  <si>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</si>
  <si>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</si>
  <si>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</si>
  <si>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</si>
  <si>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</si>
  <si>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</si>
  <si>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</si>
  <si>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</si>
  <si>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</si>
  <si>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</si>
  <si>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</si>
  <si>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</si>
  <si>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</si>
  <si>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</si>
  <si>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</si>
  <si>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</si>
  <si>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</si>
  <si>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</si>
  <si>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</si>
  <si>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</si>
  <si>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</si>
  <si>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</si>
  <si>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</si>
  <si>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</si>
  <si>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</si>
  <si>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</si>
  <si>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</si>
  <si>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</si>
  <si>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</si>
  <si>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</si>
  <si>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</si>
  <si>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</si>
  <si>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</si>
  <si>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</si>
  <si>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</si>
  <si>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</si>
  <si>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</si>
  <si>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</si>
  <si>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</si>
  <si>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</si>
  <si>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</si>
  <si>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</si>
  <si>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</si>
  <si>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</si>
  <si>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</si>
  <si>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</si>
  <si>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</si>
  <si>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</si>
  <si>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</si>
  <si>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</si>
  <si>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</si>
  <si>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</si>
  <si>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</si>
  <si>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</si>
  <si>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</si>
  <si>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</si>
  <si>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</si>
  <si>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</si>
  <si>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</si>
  <si>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</si>
  <si>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</si>
  <si>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</si>
  <si>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</si>
  <si>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</si>
  <si>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</si>
  <si>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</si>
  <si>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</si>
  <si>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</si>
  <si>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</si>
  <si>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</si>
  <si>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</si>
  <si>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</si>
  <si>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</si>
  <si>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</si>
  <si>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</si>
  <si>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</si>
  <si>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</si>
  <si>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</si>
  <si>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</si>
  <si>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</si>
  <si>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</si>
  <si>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</si>
  <si>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</si>
  <si>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</si>
  <si>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</si>
  <si>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</si>
  <si>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</si>
  <si>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</si>
  <si>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</si>
  <si>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</si>
  <si>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</si>
  <si>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</si>
  <si>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</si>
  <si>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</si>
  <si>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</si>
  <si>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</si>
  <si>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</si>
  <si>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</si>
  <si>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</si>
  <si>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</si>
  <si>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</si>
  <si>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</si>
  <si>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</si>
  <si>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</si>
  <si>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</si>
  <si>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</si>
  <si>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</si>
  <si>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</si>
  <si>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</si>
  <si>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</si>
  <si>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</si>
  <si>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</si>
  <si>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</si>
  <si>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</si>
  <si>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</si>
  <si>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</si>
  <si>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</si>
  <si>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</si>
  <si>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</si>
  <si>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</si>
  <si>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</si>
  <si>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</si>
  <si>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</si>
  <si>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</si>
  <si>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</si>
  <si>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</si>
  <si>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</si>
  <si>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</si>
  <si>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</si>
  <si>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</si>
  <si>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</si>
  <si>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</si>
  <si>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</si>
  <si>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</si>
  <si>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</si>
  <si>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</si>
  <si>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</si>
  <si>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</si>
  <si>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</si>
  <si>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</si>
  <si>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</si>
  <si>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</si>
  <si>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</si>
  <si>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</si>
  <si>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</si>
  <si>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</si>
  <si>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</si>
  <si>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</si>
  <si>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</si>
  <si>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</si>
  <si>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</si>
  <si>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</si>
  <si>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</si>
  <si>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</si>
  <si>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</si>
  <si>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</si>
  <si>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</si>
  <si>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</si>
  <si>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</si>
  <si>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</si>
  <si>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</si>
  <si>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</si>
  <si>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</si>
  <si>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</si>
  <si>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</si>
  <si>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</si>
  <si>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</si>
  <si>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</si>
  <si>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</si>
  <si>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</si>
  <si>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</si>
  <si>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</si>
  <si>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</si>
  <si>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</si>
  <si>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</si>
  <si>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</si>
  <si>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</si>
  <si>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</si>
  <si>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</si>
  <si>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</si>
  <si>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</si>
  <si>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</si>
  <si>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</si>
  <si>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</si>
  <si>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</si>
  <si>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</si>
  <si>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</si>
  <si>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</si>
  <si>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</si>
  <si>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</si>
  <si>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</si>
  <si>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</si>
  <si>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</si>
  <si>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</si>
  <si>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</si>
  <si>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</si>
  <si>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</si>
  <si>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</si>
  <si>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</si>
  <si>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</si>
  <si>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</si>
  <si>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</si>
  <si>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</si>
  <si>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</si>
  <si>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</si>
  <si>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</si>
  <si>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</si>
  <si>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</si>
  <si>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</si>
  <si>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</si>
  <si>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</si>
  <si>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</si>
  <si>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</si>
  <si>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</si>
  <si>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</si>
  <si>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</si>
  <si>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</si>
  <si>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</si>
  <si>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</si>
  <si>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</si>
  <si>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</si>
  <si>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</si>
  <si>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</si>
  <si>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</si>
  <si>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</si>
  <si>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</si>
  <si>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</si>
  <si>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</si>
  <si>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</si>
  <si>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</si>
  <si>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</si>
  <si>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</si>
  <si>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</si>
  <si>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</si>
  <si>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</si>
  <si>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</si>
  <si>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</si>
  <si>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</si>
  <si>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</si>
  <si>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</si>
  <si>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</si>
  <si>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</si>
  <si>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</si>
  <si>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</si>
  <si>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</si>
  <si>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</si>
  <si>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</si>
  <si>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</si>
  <si>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</si>
  <si>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</si>
  <si>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</si>
  <si>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</si>
  <si>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</si>
  <si>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</si>
  <si>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</si>
  <si>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</si>
  <si>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</si>
  <si>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</si>
  <si>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</si>
  <si>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</si>
  <si>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</si>
  <si>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</si>
  <si>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</si>
  <si>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</si>
  <si>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</si>
  <si>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</si>
  <si>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</si>
  <si>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</si>
  <si>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</si>
  <si>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</si>
  <si>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</si>
  <si>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</si>
  <si>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</si>
  <si>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</si>
  <si>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</si>
  <si>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</si>
  <si>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</si>
  <si>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</si>
  <si>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</si>
  <si>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</si>
  <si>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</si>
  <si>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</si>
  <si>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</si>
  <si>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</si>
  <si>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</si>
  <si>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</si>
  <si>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</si>
  <si>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</si>
  <si>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</si>
  <si>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</si>
  <si>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</si>
  <si>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</si>
  <si>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</si>
  <si>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</si>
  <si>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</si>
  <si>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</si>
  <si>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</si>
  <si>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</si>
  <si>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</si>
  <si>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</si>
  <si>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</si>
  <si>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</si>
  <si>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</si>
  <si>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</si>
  <si>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</si>
  <si>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</si>
  <si>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</si>
  <si>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</si>
  <si>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</si>
  <si>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</si>
  <si>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</si>
  <si>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</si>
  <si>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</si>
  <si>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</si>
  <si>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</si>
  <si>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</si>
  <si>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</si>
  <si>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</si>
  <si>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</si>
  <si>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</si>
  <si>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</si>
  <si>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</si>
  <si>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</si>
  <si>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</si>
  <si>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</si>
  <si>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</si>
  <si>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</si>
  <si>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</si>
  <si>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</si>
  <si>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</si>
  <si>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</si>
  <si>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</si>
  <si>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</si>
  <si>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</si>
  <si>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</si>
  <si>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</si>
  <si>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</si>
  <si>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</si>
  <si>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</si>
  <si>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</si>
  <si>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</si>
  <si>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</si>
  <si>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</si>
  <si>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</si>
  <si>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</si>
  <si>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</si>
  <si>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</si>
  <si>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</si>
  <si>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</si>
  <si>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</si>
  <si>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</si>
  <si>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</si>
  <si>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</si>
  <si>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</si>
  <si>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</si>
  <si>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</si>
  <si>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</si>
  <si>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</si>
  <si>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</si>
  <si>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</si>
  <si>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</si>
  <si>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</si>
  <si>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</si>
  <si>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</si>
  <si>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</si>
  <si>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</si>
  <si>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</si>
  <si>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</si>
  <si>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</si>
  <si>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</si>
  <si>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</si>
  <si>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</si>
  <si>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</si>
  <si>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</si>
  <si>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</si>
  <si>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</si>
  <si>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</si>
  <si>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</si>
  <si>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</si>
  <si>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</si>
  <si>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</si>
  <si>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</si>
  <si>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</si>
  <si>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</si>
  <si>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</si>
  <si>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</si>
  <si>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</si>
  <si>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</si>
  <si>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</si>
  <si>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</si>
  <si>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</si>
  <si>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</si>
  <si>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</si>
  <si>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</si>
  <si>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</si>
  <si>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</si>
  <si>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</si>
  <si>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</si>
  <si>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</si>
  <si>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</si>
  <si>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</si>
  <si>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</si>
  <si>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</si>
  <si>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</si>
  <si>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</si>
  <si>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</si>
  <si>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</si>
  <si>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</si>
  <si>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</si>
  <si>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</si>
  <si>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</si>
  <si>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</si>
  <si>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</si>
  <si>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</si>
  <si>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</si>
  <si>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</si>
  <si>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</si>
  <si>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</si>
  <si>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</si>
  <si>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</si>
  <si>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</si>
  <si>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</si>
  <si>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</si>
  <si>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</si>
  <si>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</si>
  <si>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</si>
  <si>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</si>
  <si>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</si>
  <si>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</si>
  <si>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</si>
  <si>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</si>
  <si>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</si>
  <si>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</si>
  <si>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</si>
  <si>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</si>
  <si>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</si>
  <si>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</si>
  <si>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</si>
  <si>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</si>
  <si>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</si>
  <si>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</si>
  <si>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</si>
  <si>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</si>
  <si>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</si>
  <si>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</si>
  <si>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</si>
  <si>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</si>
  <si>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</si>
  <si>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</si>
  <si>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</si>
  <si>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</si>
  <si>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</si>
  <si>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</si>
  <si>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</si>
  <si>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</si>
  <si>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</si>
  <si>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</si>
  <si>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</si>
  <si>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</si>
  <si>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</si>
  <si>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</si>
  <si>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</si>
  <si>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</si>
  <si>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</si>
  <si>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</si>
  <si>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</si>
  <si>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</si>
  <si>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</si>
  <si>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</si>
  <si>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</si>
  <si>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</si>
  <si>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</si>
  <si>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</si>
  <si>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</si>
  <si>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</si>
  <si>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</si>
  <si>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</si>
  <si>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</si>
  <si>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</si>
  <si>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</si>
  <si>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</si>
  <si>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</si>
  <si>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</si>
  <si>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</si>
  <si>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</si>
  <si>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</si>
  <si>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</si>
  <si>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</si>
  <si>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</si>
  <si>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</si>
  <si>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</si>
  <si>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</si>
  <si>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</si>
  <si>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</si>
  <si>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</si>
  <si>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</si>
  <si>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</si>
  <si>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</si>
  <si>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</si>
  <si>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</si>
  <si>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</si>
  <si>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</si>
  <si>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</si>
  <si>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</si>
  <si>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</si>
  <si>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</si>
  <si>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</si>
  <si>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</si>
  <si>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</si>
  <si>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</si>
  <si>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</si>
  <si>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</si>
  <si>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</si>
  <si>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</si>
  <si>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</si>
  <si>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</si>
  <si>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</si>
  <si>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</si>
  <si>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</si>
  <si>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</si>
  <si>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</si>
  <si>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</si>
  <si>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</si>
  <si>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</si>
  <si>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</si>
  <si>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</si>
  <si>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</si>
  <si>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</si>
  <si>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</si>
  <si>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</si>
  <si>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</si>
  <si>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</si>
  <si>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</si>
  <si>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</si>
  <si>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</si>
  <si>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</si>
  <si>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</si>
  <si>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</si>
  <si>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</si>
  <si>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</si>
  <si>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</si>
  <si>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</si>
  <si>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</si>
  <si>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</si>
  <si>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</si>
  <si>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</si>
  <si>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</si>
  <si>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</si>
  <si>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</si>
  <si>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</si>
  <si>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</si>
  <si>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</si>
  <si>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</si>
  <si>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</si>
  <si>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</si>
  <si>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</si>
  <si>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</si>
  <si>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</si>
  <si>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</si>
  <si>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</si>
  <si>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</si>
  <si>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</si>
  <si>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</si>
  <si>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</si>
  <si>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</si>
  <si>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</si>
  <si>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</si>
  <si>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</si>
  <si>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</si>
  <si>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</si>
  <si>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</si>
  <si>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</si>
  <si>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</si>
  <si>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</si>
  <si>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</si>
  <si>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</si>
  <si>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</si>
  <si>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</si>
  <si>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</si>
  <si>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</si>
  <si>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</si>
  <si>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</si>
  <si>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</si>
  <si>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</si>
  <si>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</si>
  <si>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</si>
  <si>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</si>
  <si>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</si>
  <si>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</si>
  <si>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</si>
  <si>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</si>
  <si>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</si>
  <si>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</si>
  <si>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</si>
  <si>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</si>
  <si>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</si>
  <si>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</si>
  <si>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</si>
  <si>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</si>
  <si>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</si>
  <si>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</si>
  <si>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</si>
  <si>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</si>
  <si>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</si>
  <si>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</si>
  <si>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</si>
  <si>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</si>
  <si>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</si>
  <si>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</si>
  <si>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</si>
  <si>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</si>
  <si>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</si>
  <si>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</si>
  <si>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</si>
  <si>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</si>
  <si>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</si>
  <si>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</si>
  <si>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</si>
  <si>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</si>
  <si>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</si>
  <si>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</si>
  <si>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</si>
  <si>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</si>
  <si>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</si>
  <si>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</si>
  <si>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</si>
  <si>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</si>
  <si>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</si>
  <si>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</si>
  <si>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</si>
  <si>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</si>
  <si>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</si>
  <si>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</si>
  <si>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</si>
  <si>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</si>
  <si>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</si>
  <si>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</si>
  <si>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</si>
  <si>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</si>
  <si>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</si>
  <si>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</si>
  <si>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</si>
  <si>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</si>
  <si>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</si>
  <si>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</si>
  <si>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</si>
  <si>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</si>
  <si>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</si>
  <si>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</si>
  <si>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</si>
  <si>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</si>
  <si>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</si>
  <si>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</si>
  <si>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</si>
  <si>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</si>
  <si>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</si>
  <si>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</si>
  <si>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</si>
  <si>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</si>
  <si>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</si>
  <si>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</si>
  <si>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</si>
  <si>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</si>
  <si>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</si>
  <si>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</si>
  <si>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</si>
  <si>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</si>
  <si>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</si>
  <si>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</si>
  <si>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</si>
  <si>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</si>
  <si>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</si>
  <si>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</si>
  <si>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</si>
  <si>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</si>
  <si>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</si>
  <si>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</si>
  <si>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</si>
  <si>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</si>
  <si>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</si>
  <si>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</si>
  <si>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</si>
  <si>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</si>
  <si>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</si>
  <si>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</si>
  <si>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</si>
  <si>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</si>
  <si>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</si>
  <si>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</si>
  <si>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</si>
  <si>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</si>
  <si>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</si>
  <si>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</si>
  <si>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</si>
  <si>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</si>
  <si>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</si>
  <si>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</si>
  <si>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</si>
  <si>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</si>
  <si>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</si>
  <si>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</si>
  <si>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</si>
  <si>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</si>
  <si>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</si>
  <si>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</si>
  <si>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</si>
  <si>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</si>
  <si>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</si>
  <si>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</si>
  <si>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</si>
  <si>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</si>
  <si>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</si>
  <si>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</si>
  <si>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</si>
  <si>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</si>
  <si>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</si>
  <si>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</si>
  <si>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</si>
  <si>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</si>
  <si>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</si>
  <si>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</si>
  <si>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</si>
  <si>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</si>
  <si>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</si>
  <si>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</si>
  <si>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</si>
  <si>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</si>
  <si>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</si>
  <si>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</si>
  <si>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</si>
  <si>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</si>
  <si>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</si>
  <si>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</si>
  <si>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</si>
  <si>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</si>
  <si>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</si>
  <si>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</si>
  <si>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</si>
  <si>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</si>
  <si>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</si>
  <si>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</si>
  <si>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</si>
  <si>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</si>
  <si>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</si>
  <si>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</si>
  <si>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</si>
  <si>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</si>
  <si>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</si>
  <si>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</si>
  <si>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</si>
  <si>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</si>
  <si>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</si>
  <si>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</si>
  <si>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</si>
  <si>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</si>
  <si>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</si>
  <si>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</si>
  <si>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</si>
  <si>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</si>
  <si>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</si>
  <si>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</si>
  <si>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</si>
  <si>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</si>
  <si>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</si>
  <si>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</si>
  <si>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</si>
  <si>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</si>
  <si>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</si>
  <si>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</si>
  <si>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</si>
  <si>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</si>
  <si>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</si>
  <si>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</si>
  <si>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</si>
  <si>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</si>
  <si>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</si>
  <si>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</si>
  <si>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</si>
  <si>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</si>
  <si>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</si>
  <si>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</si>
  <si>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</si>
  <si>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</si>
  <si>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</si>
  <si>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</si>
  <si>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</si>
  <si>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</si>
  <si>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</si>
  <si>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</si>
  <si>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</si>
  <si>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</si>
  <si>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</si>
  <si>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</si>
  <si>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</si>
  <si>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</si>
  <si>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</si>
  <si>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</si>
  <si>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</si>
  <si>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</si>
  <si>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</si>
  <si>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</si>
  <si>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</si>
  <si>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</si>
  <si>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</si>
  <si>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</si>
  <si>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</si>
  <si>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</si>
  <si>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</si>
  <si>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</si>
  <si>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</si>
  <si>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</si>
  <si>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</si>
  <si>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</si>
  <si>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</si>
  <si>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</si>
  <si>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</si>
  <si>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</si>
  <si>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</si>
  <si>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</si>
  <si>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</si>
  <si>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</si>
  <si>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</si>
  <si>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</si>
  <si>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</si>
  <si>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</si>
  <si>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</si>
  <si>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</si>
  <si>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</si>
  <si>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</si>
  <si>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</si>
  <si>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</si>
  <si>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</si>
  <si>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</si>
  <si>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</si>
  <si>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</si>
  <si>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</si>
  <si>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</si>
  <si>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</si>
  <si>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</si>
  <si>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</si>
  <si>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</si>
  <si>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</si>
  <si>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</si>
  <si>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</si>
  <si>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</si>
  <si>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</si>
  <si>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</si>
  <si>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</si>
  <si>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</si>
  <si>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</si>
  <si>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</si>
  <si>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</si>
  <si>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</si>
  <si>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</si>
  <si>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</si>
  <si>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</si>
  <si>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</si>
  <si>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</si>
  <si>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</si>
  <si>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</si>
  <si>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</si>
  <si>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</si>
  <si>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</si>
  <si>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</si>
  <si>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</si>
  <si>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</si>
  <si>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</si>
  <si>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</si>
  <si>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</si>
  <si>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</si>
  <si>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</si>
  <si>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</si>
  <si>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</si>
  <si>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</si>
  <si>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</si>
  <si>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</si>
  <si>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</si>
  <si>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</si>
  <si>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</si>
  <si>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</si>
  <si>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</si>
  <si>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</si>
  <si>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</si>
  <si>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</si>
  <si>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</si>
  <si>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</si>
  <si>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</si>
  <si>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</si>
  <si>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</si>
  <si>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</si>
  <si>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</si>
  <si>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</si>
  <si>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</si>
  <si>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</si>
  <si>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</si>
  <si>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</si>
  <si>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</si>
  <si>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</si>
  <si>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</si>
  <si>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</si>
  <si>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</si>
  <si>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</si>
  <si>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</si>
  <si>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</si>
  <si>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</si>
  <si>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</si>
  <si>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</si>
  <si>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</si>
  <si>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</si>
  <si>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</si>
  <si>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</si>
  <si>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</si>
  <si>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</si>
  <si>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</si>
  <si>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</si>
  <si>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</si>
  <si>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</si>
  <si>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</si>
  <si>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</si>
  <si>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</si>
  <si>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</si>
  <si>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</si>
  <si>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</si>
  <si>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</si>
  <si>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</si>
  <si>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</si>
  <si>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</si>
  <si>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</si>
  <si>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</si>
  <si>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</si>
  <si>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</si>
  <si>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</si>
  <si>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</si>
  <si>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</si>
  <si>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</si>
  <si>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</si>
  <si>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</si>
  <si>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</si>
  <si>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</si>
  <si>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</si>
  <si>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</si>
  <si>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</si>
  <si>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</si>
  <si>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</si>
  <si>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</si>
  <si>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</si>
  <si>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</si>
  <si>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</si>
  <si>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</si>
  <si>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</si>
  <si>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</si>
  <si>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</si>
  <si>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</si>
  <si>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</si>
  <si>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</si>
  <si>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</si>
  <si>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</si>
  <si>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</si>
  <si>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</si>
  <si>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</si>
  <si>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</si>
  <si>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</si>
  <si>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</si>
  <si>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</si>
  <si>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</si>
  <si>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</si>
  <si>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</si>
  <si>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</si>
  <si>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</si>
  <si>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</si>
  <si>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</si>
  <si>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</si>
  <si>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</si>
  <si>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</si>
  <si>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</si>
  <si>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</si>
  <si>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</si>
  <si>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</si>
  <si>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</si>
  <si>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</si>
  <si>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</si>
  <si>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</si>
  <si>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</si>
  <si>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</si>
  <si>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</si>
  <si>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</si>
  <si>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</si>
  <si>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</si>
  <si>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</si>
  <si>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</si>
  <si>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</si>
  <si>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</si>
  <si>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</si>
  <si>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</si>
  <si>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</si>
  <si>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</si>
  <si>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</si>
  <si>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</si>
  <si>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</si>
  <si>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</si>
  <si>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</si>
  <si>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</si>
  <si>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</si>
  <si>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</si>
  <si>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</si>
  <si>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</si>
  <si>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</si>
  <si>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</si>
  <si>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</si>
  <si>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</si>
  <si>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</si>
  <si>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</si>
  <si>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</si>
  <si>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</si>
  <si>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</si>
  <si>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</si>
  <si>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</si>
  <si>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</si>
  <si>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</si>
  <si>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</si>
  <si>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</si>
  <si>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</si>
  <si>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</si>
  <si>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</si>
  <si>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</si>
  <si>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</si>
  <si>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</si>
  <si>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</si>
  <si>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</si>
  <si>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</si>
  <si>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</si>
  <si>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</si>
  <si>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</si>
  <si>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</si>
  <si>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</si>
  <si>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</si>
  <si>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</si>
  <si>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</si>
  <si>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</si>
  <si>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</si>
  <si>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</si>
  <si>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</si>
  <si>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</si>
  <si>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</si>
  <si>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</si>
  <si>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</si>
  <si>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</si>
  <si>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Champlain Cable Corporation</t>
  </si>
  <si>
    <t>002338549</t>
  </si>
  <si>
    <t>DUNS</t>
  </si>
  <si>
    <t>175 Hercules Drive, Colchester, VT 05446</t>
  </si>
  <si>
    <t>Jordan Mayer</t>
  </si>
  <si>
    <t>jmayer@champcable.com</t>
  </si>
  <si>
    <t>802-654-4280</t>
  </si>
  <si>
    <t>EHS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</si>
</sst>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34">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6"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6"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92">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jmayer@champcable.com" TargetMode="External"/><Relationship Id="rId1" Type="http://schemas.openxmlformats.org/officeDocument/2006/relationships/hyperlink" Target="mailto:jmayer@champcable.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6"/>
  <sheetViews>
    <sheetView showGridLines="0" workbookViewId="0"/>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customSheetViews>
    <customSheetView guid="{C59130F4-2E03-5E48-94CE-6E4A0484DB9E}" showAutoFilter="1">
      <selection activeCell="C1" sqref="C1:D65536"/>
      <pageMargins left="0.75" right="0.75" top="1" bottom="1" header="0.3" footer="0.3"/>
      <pageSetup orientation="portrait"/>
      <headerFooter alignWithMargins="0"/>
      <autoFilter ref="B1:C1"/>
    </customSheetView>
    <customSheetView guid="{4BDF1A28-30D5-449D-B20E-D6C97EF9FAE1}" showAutoFilter="1">
      <selection activeCell="C1" sqref="C1:D65536"/>
      <pageMargins left="0.75" right="0.75" top="1" bottom="1" header="0.3" footer="0.3"/>
      <pageSetup orientation="portrait"/>
      <autoFilter ref="B1:C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ht="22.5">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67.5">
      <c r="A14" s="349"/>
      <c r="B14" s="227">
        <v>1.1000000000000001</v>
      </c>
      <c r="C14" s="228" t="s">
        <v>11911</v>
      </c>
      <c r="D14" s="251">
        <v>43455</v>
      </c>
      <c r="E14" s="229" t="s">
        <v>12726</v>
      </c>
      <c r="F14" s="229" t="s">
        <v>12507</v>
      </c>
      <c r="G14" s="28"/>
    </row>
    <row r="15" spans="1:7" ht="67.5">
      <c r="A15" s="349"/>
      <c r="B15" s="227">
        <v>2</v>
      </c>
      <c r="C15" s="228" t="s">
        <v>11911</v>
      </c>
      <c r="D15" s="251">
        <v>43768</v>
      </c>
      <c r="E15" s="229" t="s">
        <v>12804</v>
      </c>
      <c r="F15" s="229" t="s">
        <v>12805</v>
      </c>
      <c r="G15" s="28"/>
    </row>
    <row r="16" spans="1:7" ht="56.25">
      <c r="A16" s="349"/>
      <c r="B16" s="316">
        <v>2.1</v>
      </c>
      <c r="C16" s="317" t="s">
        <v>11911</v>
      </c>
      <c r="D16" s="318">
        <v>43964</v>
      </c>
      <c r="E16" s="319" t="s">
        <v>13794</v>
      </c>
      <c r="F16" s="319" t="s">
        <v>13795</v>
      </c>
      <c r="G16" s="28"/>
    </row>
    <row r="17" spans="1:7" ht="56.25">
      <c r="A17" s="349"/>
      <c r="B17" s="316">
        <v>2.11</v>
      </c>
      <c r="C17" s="317" t="s">
        <v>11911</v>
      </c>
      <c r="D17" s="318">
        <v>43970</v>
      </c>
      <c r="E17" s="319" t="s">
        <v>13874</v>
      </c>
      <c r="F17" s="319" t="s">
        <v>13795</v>
      </c>
      <c r="G17" s="28"/>
    </row>
    <row r="18" spans="1:7" ht="67.5">
      <c r="A18" s="349"/>
      <c r="B18" s="316">
        <v>2.2000000000000002</v>
      </c>
      <c r="C18" s="317" t="s">
        <v>11911</v>
      </c>
      <c r="D18" s="318">
        <v>44132</v>
      </c>
      <c r="E18" s="319" t="s">
        <v>13884</v>
      </c>
      <c r="F18" s="319" t="s">
        <v>13885</v>
      </c>
      <c r="G18" s="28"/>
    </row>
    <row r="19" spans="1:7" ht="13.5" thickBot="1">
      <c r="A19" s="350"/>
      <c r="B19" s="351" t="str">
        <f ca="1">OFFSET(L!$C$1,MATCH("General"&amp;"Cpy",L!$A:$A,0)-1,SL,,)</f>
        <v>© 2020 Responsible Minerals Initiative. All rights reserved.</v>
      </c>
      <c r="C19" s="351"/>
      <c r="D19" s="351"/>
      <c r="E19" s="351"/>
      <c r="F19" s="351"/>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3.5" thickBot="1">
      <c r="A22" s="235"/>
      <c r="B22" s="236"/>
      <c r="C22" s="236"/>
      <c r="D22" s="360"/>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workbookViewId="0">
      <selection activeCell="D26" sqref="D26:E26"/>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1"/>
      <c r="B1" s="382"/>
      <c r="C1" s="382"/>
      <c r="D1" s="382"/>
      <c r="E1" s="382"/>
      <c r="F1" s="382"/>
      <c r="G1" s="382"/>
      <c r="H1" s="382"/>
      <c r="I1" s="382"/>
      <c r="J1" s="382"/>
      <c r="K1" s="383"/>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84" t="str">
        <f ca="1">OFFSET(L!$C$1,MATCH("Declaration"&amp;ADDRESS(ROW(),COLUMN(),4),L!$A:$A,0)-1,SL,,)</f>
        <v>Cobalt Reporting Template (CRT)</v>
      </c>
      <c r="E2" s="385"/>
      <c r="F2" s="385"/>
      <c r="G2" s="385"/>
      <c r="H2" s="385"/>
      <c r="I2" s="385"/>
      <c r="J2" s="386"/>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365"/>
      <c r="F3" s="366"/>
      <c r="G3" s="366"/>
      <c r="H3" s="366"/>
      <c r="I3" s="366"/>
      <c r="J3" s="253" t="s">
        <v>13887</v>
      </c>
      <c r="K3" s="35"/>
      <c r="L3" s="120"/>
      <c r="M3" s="111"/>
      <c r="N3" s="111"/>
      <c r="O3" s="112"/>
      <c r="P3" s="125">
        <f>MATCH($D$3,LN,0)</f>
        <v>1</v>
      </c>
    </row>
    <row r="4" spans="1:34" ht="15.75">
      <c r="A4" s="33"/>
      <c r="B4" s="390" t="str">
        <f ca="1">OFFSET(L!$C$1,MATCH("Declaration"&amp;ADDRESS(ROW(),COLUMN(),4),L!$A:$A,0)-1,SL,,)</f>
        <v>The purpose of this document is to collect sourcing information on cobalt.</v>
      </c>
      <c r="C4" s="390"/>
      <c r="D4" s="390"/>
      <c r="E4" s="390"/>
      <c r="F4" s="390"/>
      <c r="G4" s="390"/>
      <c r="H4" s="390"/>
      <c r="I4" s="394" t="str">
        <f ca="1">OFFSET(L!$C$1,MATCH("Declaration"&amp;ADDRESS(ROW(),COLUMN(),4),L!$A:$A,0)-1,SL,,)</f>
        <v>Link to Terms &amp; Conditions</v>
      </c>
      <c r="J4" s="394"/>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90" t="str">
        <f ca="1">OFFSET(L!$C$1,MATCH("Declaration"&amp;ADDRESS(ROW(),COLUMN(),4),L!$A:$A,0)-1,SL,,)</f>
        <v>Mandatory fields are noted with an asterisk (*).  Consult the instructions tab for guidance on how to answer each question.</v>
      </c>
      <c r="C6" s="390"/>
      <c r="D6" s="390"/>
      <c r="E6" s="390"/>
      <c r="F6" s="390"/>
      <c r="G6" s="390"/>
      <c r="H6" s="390"/>
      <c r="I6" s="390"/>
      <c r="J6" s="390"/>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395" t="str">
        <f ca="1">OFFSET(L!$C$1,MATCH("Declaration"&amp;ADDRESS(ROW(),COLUMN(),4),L!$A:$A,0)-1,SL,,)</f>
        <v>Company Information</v>
      </c>
      <c r="C7" s="395"/>
      <c r="D7" s="395"/>
      <c r="E7" s="395"/>
      <c r="F7" s="395"/>
      <c r="G7" s="395"/>
      <c r="H7" s="395"/>
      <c r="I7" s="395"/>
      <c r="J7" s="395"/>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87" t="s">
        <v>14060</v>
      </c>
      <c r="E8" s="388"/>
      <c r="F8" s="388"/>
      <c r="G8" s="388"/>
      <c r="H8" s="388"/>
      <c r="I8" s="388"/>
      <c r="J8" s="389"/>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410" t="s">
        <v>377</v>
      </c>
      <c r="E9" s="411"/>
      <c r="F9" s="411"/>
      <c r="G9" s="412"/>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396" t="str">
        <f ca="1">OFFSET(L!$C$1,MATCH("Declaration"&amp;ADDRESS(ROW(),COLUMN(),4)&amp;LEFT($D$9,1),L!$A:$A,0)-1,SL,,)</f>
        <v>Description of Scope:</v>
      </c>
      <c r="C10" s="132"/>
      <c r="D10" s="391"/>
      <c r="E10" s="392"/>
      <c r="F10" s="392"/>
      <c r="G10" s="392"/>
      <c r="H10" s="392"/>
      <c r="I10" s="392"/>
      <c r="J10" s="393"/>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397"/>
      <c r="C11" s="132"/>
      <c r="D11" s="398" t="str">
        <f ca="1">IF(D9=Q9,OFFSET(L!$C$1,MATCH("Declaration"&amp;ADDRESS(ROW(),COLUMN(),4),L!$A:$A,0)-1,SL,,),"")</f>
        <v/>
      </c>
      <c r="E11" s="399"/>
      <c r="F11" s="399"/>
      <c r="G11" s="399"/>
      <c r="H11" s="399"/>
      <c r="I11" s="399"/>
      <c r="J11" s="400"/>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78" t="s">
        <v>14061</v>
      </c>
      <c r="E12" s="376"/>
      <c r="F12" s="376"/>
      <c r="G12" s="376"/>
      <c r="H12" s="376"/>
      <c r="I12" s="376"/>
      <c r="J12" s="377"/>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78" t="s">
        <v>14062</v>
      </c>
      <c r="E13" s="376"/>
      <c r="F13" s="376"/>
      <c r="G13" s="376"/>
      <c r="H13" s="376"/>
      <c r="I13" s="376"/>
      <c r="J13" s="377"/>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78" t="s">
        <v>14063</v>
      </c>
      <c r="E14" s="376"/>
      <c r="F14" s="376"/>
      <c r="G14" s="376"/>
      <c r="H14" s="376"/>
      <c r="I14" s="376"/>
      <c r="J14" s="377"/>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78" t="s">
        <v>14064</v>
      </c>
      <c r="E15" s="376"/>
      <c r="F15" s="376"/>
      <c r="G15" s="376"/>
      <c r="H15" s="376"/>
      <c r="I15" s="376"/>
      <c r="J15" s="377"/>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375" t="s">
        <v>14065</v>
      </c>
      <c r="E16" s="376"/>
      <c r="F16" s="376"/>
      <c r="G16" s="376"/>
      <c r="H16" s="376"/>
      <c r="I16" s="376"/>
      <c r="J16" s="377"/>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78" t="s">
        <v>14066</v>
      </c>
      <c r="E17" s="376"/>
      <c r="F17" s="376"/>
      <c r="G17" s="376"/>
      <c r="H17" s="376"/>
      <c r="I17" s="376"/>
      <c r="J17" s="377"/>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78" t="s">
        <v>14064</v>
      </c>
      <c r="E18" s="376"/>
      <c r="F18" s="376"/>
      <c r="G18" s="376"/>
      <c r="H18" s="376"/>
      <c r="I18" s="376"/>
      <c r="J18" s="377"/>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78" t="s">
        <v>14067</v>
      </c>
      <c r="E19" s="376"/>
      <c r="F19" s="376"/>
      <c r="G19" s="376"/>
      <c r="H19" s="376"/>
      <c r="I19" s="376"/>
      <c r="J19" s="377"/>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375" t="s">
        <v>14065</v>
      </c>
      <c r="E20" s="376"/>
      <c r="F20" s="376"/>
      <c r="G20" s="376"/>
      <c r="H20" s="376"/>
      <c r="I20" s="376"/>
      <c r="J20" s="377"/>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378" t="s">
        <v>14066</v>
      </c>
      <c r="E21" s="376"/>
      <c r="F21" s="376"/>
      <c r="G21" s="376"/>
      <c r="H21" s="376"/>
      <c r="I21" s="376"/>
      <c r="J21" s="377"/>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413">
        <v>44377</v>
      </c>
      <c r="E22" s="414"/>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409"/>
      <c r="E23" s="409"/>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61" t="str">
        <f ca="1">OFFSET(L!$C$1,MATCH("Declaration"&amp;ADDRESS(ROW(),COLUMN(),4),L!$A:$A,0)-1,SL,,)</f>
        <v>Answer the following questions 1 - 6 based on the declaration scope indicated above</v>
      </c>
      <c r="C24" s="361"/>
      <c r="D24" s="361"/>
      <c r="E24" s="361"/>
      <c r="F24" s="361"/>
      <c r="G24" s="361"/>
      <c r="H24" s="361"/>
      <c r="I24" s="361"/>
      <c r="J24" s="361"/>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406" t="str">
        <f ca="1">OFFSET(L!$C$1,MATCH("Declaration"&amp;ADDRESS(ROW(),COLUMN(),4),L!$A:$A,0)-1,SL,,)</f>
        <v>Answer</v>
      </c>
      <c r="E25" s="406"/>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73" t="s">
        <v>372</v>
      </c>
      <c r="E26" s="374"/>
      <c r="F26" s="10"/>
      <c r="G26" s="362"/>
      <c r="H26" s="363"/>
      <c r="I26" s="363"/>
      <c r="J26" s="364"/>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7" t="s">
        <v>372</v>
      </c>
      <c r="E27" s="368"/>
      <c r="F27" s="10"/>
      <c r="G27" s="362"/>
      <c r="H27" s="363"/>
      <c r="I27" s="363"/>
      <c r="J27" s="36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7" t="s">
        <v>372</v>
      </c>
      <c r="E28" s="368"/>
      <c r="F28" s="10"/>
      <c r="G28" s="362"/>
      <c r="H28" s="363"/>
      <c r="I28" s="363"/>
      <c r="J28" s="36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7" t="s">
        <v>372</v>
      </c>
      <c r="E29" s="368"/>
      <c r="F29" s="10"/>
      <c r="G29" s="362"/>
      <c r="H29" s="363"/>
      <c r="I29" s="363"/>
      <c r="J29" s="36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80" t="str">
        <f ca="1">D25</f>
        <v>Answer</v>
      </c>
      <c r="E31" s="380"/>
      <c r="F31" s="16"/>
      <c r="G31" s="43" t="str">
        <f ca="1">G25</f>
        <v>Comments</v>
      </c>
      <c r="H31" s="408"/>
      <c r="I31" s="408"/>
      <c r="J31" s="408"/>
      <c r="K31" s="35"/>
      <c r="L31" s="117" t="s">
        <v>692</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73"/>
      <c r="E32" s="374"/>
      <c r="F32" s="46"/>
      <c r="G32" s="362"/>
      <c r="H32" s="363"/>
      <c r="I32" s="363"/>
      <c r="J32" s="364"/>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7"/>
      <c r="E33" s="368"/>
      <c r="F33" s="46"/>
      <c r="G33" s="362"/>
      <c r="H33" s="363"/>
      <c r="I33" s="363"/>
      <c r="J33" s="36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73"/>
      <c r="E34" s="374"/>
      <c r="F34" s="46"/>
      <c r="G34" s="362"/>
      <c r="H34" s="363"/>
      <c r="I34" s="363"/>
      <c r="J34" s="36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73"/>
      <c r="E35" s="374"/>
      <c r="F35" s="46"/>
      <c r="G35" s="362"/>
      <c r="H35" s="363"/>
      <c r="I35" s="363"/>
      <c r="J35" s="36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 xml:space="preserve">3) Does 100 percent of the cobalt originate from recycled or scrap sources? </v>
      </c>
      <c r="C37" s="8"/>
      <c r="D37" s="380" t="str">
        <f ca="1">D25</f>
        <v>Answer</v>
      </c>
      <c r="E37" s="380"/>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73"/>
      <c r="E38" s="374"/>
      <c r="F38" s="46"/>
      <c r="G38" s="362"/>
      <c r="H38" s="363"/>
      <c r="I38" s="363"/>
      <c r="J38" s="36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7"/>
      <c r="E39" s="368"/>
      <c r="F39" s="46"/>
      <c r="G39" s="362"/>
      <c r="H39" s="363"/>
      <c r="I39" s="363"/>
      <c r="J39" s="36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7"/>
      <c r="E40" s="368"/>
      <c r="F40" s="46"/>
      <c r="G40" s="362"/>
      <c r="H40" s="363"/>
      <c r="I40" s="363"/>
      <c r="J40" s="36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7"/>
      <c r="E41" s="368"/>
      <c r="F41" s="46"/>
      <c r="G41" s="362"/>
      <c r="H41" s="363"/>
      <c r="I41" s="363"/>
      <c r="J41" s="36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80" t="str">
        <f ca="1">D25</f>
        <v>Answer</v>
      </c>
      <c r="E43" s="380"/>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371"/>
      <c r="E44" s="372"/>
      <c r="F44" s="46"/>
      <c r="G44" s="362"/>
      <c r="H44" s="363"/>
      <c r="I44" s="363"/>
      <c r="J44" s="36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69"/>
      <c r="E45" s="370"/>
      <c r="F45" s="46"/>
      <c r="G45" s="362"/>
      <c r="H45" s="363"/>
      <c r="I45" s="363"/>
      <c r="J45" s="36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69"/>
      <c r="E46" s="370"/>
      <c r="F46" s="46"/>
      <c r="G46" s="362"/>
      <c r="H46" s="363"/>
      <c r="I46" s="363"/>
      <c r="J46" s="36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69"/>
      <c r="E47" s="370"/>
      <c r="F47" s="46"/>
      <c r="G47" s="362"/>
      <c r="H47" s="363"/>
      <c r="I47" s="363"/>
      <c r="J47" s="36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380" t="str">
        <f ca="1">D25</f>
        <v>Answer</v>
      </c>
      <c r="E49" s="380"/>
      <c r="F49" s="16"/>
      <c r="G49" s="43" t="str">
        <f ca="1">G25</f>
        <v>Comments</v>
      </c>
      <c r="H49" s="379"/>
      <c r="I49" s="379"/>
      <c r="J49" s="379"/>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401"/>
      <c r="E50" s="402"/>
      <c r="F50" s="46"/>
      <c r="G50" s="362"/>
      <c r="H50" s="363"/>
      <c r="I50" s="363"/>
      <c r="J50" s="36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7"/>
      <c r="E51" s="368"/>
      <c r="F51" s="46"/>
      <c r="G51" s="362"/>
      <c r="H51" s="363"/>
      <c r="I51" s="363"/>
      <c r="J51" s="36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7"/>
      <c r="E52" s="368"/>
      <c r="F52" s="46"/>
      <c r="G52" s="362"/>
      <c r="H52" s="363"/>
      <c r="I52" s="363"/>
      <c r="J52" s="36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7"/>
      <c r="E53" s="368"/>
      <c r="F53" s="46"/>
      <c r="G53" s="362"/>
      <c r="H53" s="363"/>
      <c r="I53" s="363"/>
      <c r="J53" s="36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380" t="str">
        <f ca="1">D25</f>
        <v>Answer</v>
      </c>
      <c r="E55" s="380"/>
      <c r="F55" s="16"/>
      <c r="G55" s="43" t="str">
        <f ca="1">G25</f>
        <v>Comments</v>
      </c>
      <c r="H55" s="379" t="str">
        <f>IF(Q63="(*)","Click here to enter smelter names","")</f>
        <v/>
      </c>
      <c r="I55" s="379"/>
      <c r="J55" s="379"/>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73"/>
      <c r="E56" s="374"/>
      <c r="F56" s="47"/>
      <c r="G56" s="362"/>
      <c r="H56" s="363"/>
      <c r="I56" s="363"/>
      <c r="J56" s="36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7"/>
      <c r="E57" s="368"/>
      <c r="F57" s="47"/>
      <c r="G57" s="362"/>
      <c r="H57" s="363"/>
      <c r="I57" s="363"/>
      <c r="J57" s="36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7"/>
      <c r="E58" s="368"/>
      <c r="F58" s="47"/>
      <c r="G58" s="362"/>
      <c r="H58" s="363"/>
      <c r="I58" s="363"/>
      <c r="J58" s="36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7"/>
      <c r="E59" s="368"/>
      <c r="F59" s="49"/>
      <c r="G59" s="362"/>
      <c r="H59" s="363"/>
      <c r="I59" s="363"/>
      <c r="J59" s="36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18" t="str">
        <f ca="1">OFFSET(L!$C$1,MATCH("Declaration"&amp;ADDRESS(ROW(),COLUMN(),4),L!$A:$A,0)-1,SL,,)</f>
        <v>Answer the Following Questions at a Company Level</v>
      </c>
      <c r="C61" s="418"/>
      <c r="D61" s="418"/>
      <c r="E61" s="418"/>
      <c r="F61" s="418"/>
      <c r="G61" s="418"/>
      <c r="H61" s="418"/>
      <c r="I61" s="418"/>
      <c r="J61" s="418"/>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406" t="str">
        <f ca="1">D25</f>
        <v>Answer</v>
      </c>
      <c r="E62" s="406"/>
      <c r="F62" s="52"/>
      <c r="G62" s="406" t="str">
        <f ca="1">G25</f>
        <v>Comments</v>
      </c>
      <c r="H62" s="406" t="e">
        <f>HLOOKUP(SL,LT,$O62,0)</f>
        <v>#NAME?</v>
      </c>
      <c r="I62" s="406"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3"/>
      <c r="E63" s="374"/>
      <c r="F63" s="56"/>
      <c r="G63" s="362"/>
      <c r="H63" s="363"/>
      <c r="I63" s="363"/>
      <c r="J63" s="364"/>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407"/>
      <c r="H64" s="407"/>
      <c r="I64" s="407"/>
      <c r="J64" s="407"/>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73"/>
      <c r="E65" s="374"/>
      <c r="F65" s="56"/>
      <c r="G65" s="403"/>
      <c r="H65" s="404"/>
      <c r="I65" s="404"/>
      <c r="J65" s="405"/>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73"/>
      <c r="E67" s="374"/>
      <c r="F67" s="56"/>
      <c r="G67" s="362"/>
      <c r="H67" s="363"/>
      <c r="I67" s="363"/>
      <c r="J67" s="364"/>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73"/>
      <c r="E69" s="374"/>
      <c r="F69" s="56"/>
      <c r="G69" s="362"/>
      <c r="H69" s="363"/>
      <c r="I69" s="363"/>
      <c r="J69" s="364"/>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73"/>
      <c r="E71" s="374"/>
      <c r="F71" s="56"/>
      <c r="G71" s="362"/>
      <c r="H71" s="363"/>
      <c r="I71" s="363"/>
      <c r="J71" s="364"/>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419"/>
      <c r="E73" s="420"/>
      <c r="F73" s="56"/>
      <c r="G73" s="362"/>
      <c r="H73" s="363"/>
      <c r="I73" s="363"/>
      <c r="J73" s="364"/>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407"/>
      <c r="H74" s="407"/>
      <c r="I74" s="407"/>
      <c r="J74" s="407"/>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 xml:space="preserve">G. Does your company conduct cobalt supply chain survey(s) of your relevant supplier(s)? </v>
      </c>
      <c r="C75" s="56"/>
      <c r="D75" s="373"/>
      <c r="E75" s="374"/>
      <c r="F75" s="56"/>
      <c r="G75" s="362"/>
      <c r="H75" s="363"/>
      <c r="I75" s="363"/>
      <c r="J75" s="364"/>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421"/>
      <c r="H76" s="421"/>
      <c r="I76" s="421"/>
      <c r="J76" s="421"/>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73"/>
      <c r="E77" s="374"/>
      <c r="F77" s="56"/>
      <c r="G77" s="362"/>
      <c r="H77" s="363"/>
      <c r="I77" s="363"/>
      <c r="J77" s="364"/>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73"/>
      <c r="E79" s="374"/>
      <c r="F79" s="56"/>
      <c r="G79" s="362"/>
      <c r="H79" s="363"/>
      <c r="I79" s="363"/>
      <c r="J79" s="364"/>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17" t="str">
        <f>IF(OR($D$8="",$I$3=""),"","Click here to check required fields completion")</f>
        <v/>
      </c>
      <c r="C80" s="417"/>
      <c r="D80" s="417"/>
      <c r="E80" s="417"/>
      <c r="F80" s="417"/>
      <c r="G80" s="417"/>
      <c r="H80" s="417"/>
      <c r="I80" s="417"/>
      <c r="J80" s="417"/>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415" t="str">
        <f ca="1">OFFSET(L!$C$1,MATCH("General"&amp;"Cpy",L!$A:$A,0)-1,SL,,)</f>
        <v>© 2020 Responsible Minerals Initiative. All rights reserved.</v>
      </c>
      <c r="B81" s="416"/>
      <c r="C81" s="416"/>
      <c r="D81" s="416"/>
      <c r="E81" s="416"/>
      <c r="F81" s="416"/>
      <c r="G81" s="416"/>
      <c r="H81" s="416"/>
      <c r="I81" s="416"/>
      <c r="J81" s="416"/>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91" priority="58" stopIfTrue="1">
      <formula>OR($D$26="No",$D$26="Unknown")</formula>
    </cfRule>
    <cfRule type="expression" dxfId="90" priority="59" stopIfTrue="1">
      <formula>IF(D63="",TRUE)</formula>
    </cfRule>
  </conditionalFormatting>
  <conditionalFormatting sqref="D26:E26">
    <cfRule type="expression" dxfId="89" priority="110" stopIfTrue="1">
      <formula>IF($D$26="",TRUE)</formula>
    </cfRule>
  </conditionalFormatting>
  <conditionalFormatting sqref="D27:E27">
    <cfRule type="expression" dxfId="88" priority="117" stopIfTrue="1">
      <formula>IF($D$27="",TRUE)</formula>
    </cfRule>
  </conditionalFormatting>
  <conditionalFormatting sqref="D8:J8">
    <cfRule type="expression" dxfId="87" priority="124" stopIfTrue="1">
      <formula>IF($D$8="",TRUE)</formula>
    </cfRule>
  </conditionalFormatting>
  <conditionalFormatting sqref="D9:G9">
    <cfRule type="expression" dxfId="86" priority="125" stopIfTrue="1">
      <formula>IF($D$9="",TRUE)</formula>
    </cfRule>
  </conditionalFormatting>
  <conditionalFormatting sqref="D15:J15">
    <cfRule type="expression" dxfId="85" priority="126" stopIfTrue="1">
      <formula>IF($D$15="",TRUE)</formula>
    </cfRule>
  </conditionalFormatting>
  <conditionalFormatting sqref="D16:J16">
    <cfRule type="expression" dxfId="84" priority="127" stopIfTrue="1">
      <formula>IF($D$16="",TRUE)</formula>
    </cfRule>
  </conditionalFormatting>
  <conditionalFormatting sqref="D17:J17">
    <cfRule type="expression" dxfId="83" priority="128" stopIfTrue="1">
      <formula>IF($D$17="",TRUE)</formula>
    </cfRule>
  </conditionalFormatting>
  <conditionalFormatting sqref="D18:J18">
    <cfRule type="expression" dxfId="82" priority="129" stopIfTrue="1">
      <formula>IF($D$18="",TRUE)</formula>
    </cfRule>
  </conditionalFormatting>
  <conditionalFormatting sqref="D22:E22">
    <cfRule type="expression" dxfId="81" priority="132" stopIfTrue="1">
      <formula>IF($D$22="",TRUE)</formula>
    </cfRule>
  </conditionalFormatting>
  <conditionalFormatting sqref="D10:J10">
    <cfRule type="expression" dxfId="80" priority="29" stopIfTrue="1">
      <formula>IF($D$9=$Q$9,TRUE)</formula>
    </cfRule>
    <cfRule type="expression" dxfId="79" priority="139" stopIfTrue="1">
      <formula>IF(AND($D$10="",$D$9=$R$9),TRUE)</formula>
    </cfRule>
  </conditionalFormatting>
  <conditionalFormatting sqref="D34:E34 D40:E40 D46:E46 D52:E52 D58:E58">
    <cfRule type="expression" dxfId="78" priority="22" stopIfTrue="1">
      <formula>$P$28=""</formula>
    </cfRule>
  </conditionalFormatting>
  <conditionalFormatting sqref="D35:E35 D41:E41 D47:E47 D53:E53 D59:E59">
    <cfRule type="expression" dxfId="77" priority="137" stopIfTrue="1">
      <formula>$P$29=""</formula>
    </cfRule>
  </conditionalFormatting>
  <conditionalFormatting sqref="D34 D40 D46 D52 D58">
    <cfRule type="expression" dxfId="76" priority="135" stopIfTrue="1">
      <formula>IF(AND(OR($D$28="Yes",$D$28=""),D34=""),1,0)</formula>
    </cfRule>
  </conditionalFormatting>
  <conditionalFormatting sqref="D32:E32 D38:E38 D44:E44 D50:E50 D56:E56">
    <cfRule type="expression" dxfId="75" priority="26" stopIfTrue="1">
      <formula>IF(AND(OR($D$26="No",$D$26="Unknown"),D32=""),1,0)</formula>
    </cfRule>
    <cfRule type="expression" dxfId="74" priority="27" stopIfTrue="1">
      <formula>IF(AND(OR($D$26="Yes",$D$26=""),D32=""),1,0)</formula>
    </cfRule>
  </conditionalFormatting>
  <conditionalFormatting sqref="G73:J73">
    <cfRule type="expression" dxfId="73" priority="20" stopIfTrue="1">
      <formula>IF(AND($D$73="Yes, using other format (describe)",$G$73=""),TRUE)</formula>
    </cfRule>
  </conditionalFormatting>
  <conditionalFormatting sqref="D33:E33 D39:E39 D45:E45 D51:E51 D57:E57">
    <cfRule type="expression" dxfId="72" priority="133" stopIfTrue="1">
      <formula>$P$33=""</formula>
    </cfRule>
    <cfRule type="expression" dxfId="71" priority="134" stopIfTrue="1">
      <formula>IF(AND(OR($D$27="Yes",$D$27=""),D33=""),1,0)</formula>
    </cfRule>
  </conditionalFormatting>
  <conditionalFormatting sqref="D35:E35 D41:E41 D47:E47 D53:E53 D59:E59">
    <cfRule type="expression" dxfId="70" priority="138" stopIfTrue="1">
      <formula>IF(AND(OR($D$29="Yes",$D$29=""),D35=""),1,0)</formula>
    </cfRule>
  </conditionalFormatting>
  <conditionalFormatting sqref="D20:J20">
    <cfRule type="expression" dxfId="69" priority="8" stopIfTrue="1">
      <formula>IF($D$20="",TRUE)</formula>
    </cfRule>
  </conditionalFormatting>
  <conditionalFormatting sqref="D27 D33 D39 D45 D51 D57">
    <cfRule type="expression" dxfId="68" priority="7" stopIfTrue="1">
      <formula>IF($D$27="No",TRUE)</formula>
    </cfRule>
  </conditionalFormatting>
  <conditionalFormatting sqref="D28 D34 D40 D46 D52 D58">
    <cfRule type="expression" dxfId="67" priority="6">
      <formula>IF($D$28="No",TRUE)</formula>
    </cfRule>
  </conditionalFormatting>
  <conditionalFormatting sqref="D29 D35 D41 D47 D53 D59">
    <cfRule type="expression" dxfId="66" priority="5">
      <formula>IF($D$29="No",TRUE)</formula>
    </cfRule>
  </conditionalFormatting>
  <conditionalFormatting sqref="G63:J63">
    <cfRule type="expression" dxfId="65" priority="2">
      <formula>IF(AND($D$63="Yes",$G$63=""),TRUE)</formula>
    </cfRule>
  </conditionalFormatting>
  <conditionalFormatting sqref="G75:J75">
    <cfRule type="expression" dxfId="64"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B80:J80" location="Checker!A1" display="Checker!A1"/>
    <hyperlink ref="H55:J55" location="'Smelter List'!A1" display="'Smelter List'!A1"/>
    <hyperlink ref="D11:J11" location="'Product List'!B6" display="'Product List'!B6"/>
    <hyperlink ref="I4:J4" location="Instructions!A67" display="Instructions!A67"/>
    <hyperlink ref="D16" r:id="rId1"/>
    <hyperlink ref="D20" r:id="rId2"/>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2"/>
      <c r="K2" s="423"/>
      <c r="L2" s="423"/>
      <c r="M2" s="423"/>
      <c r="N2" s="423"/>
      <c r="O2" s="423"/>
      <c r="P2" s="209"/>
      <c r="Q2" s="210"/>
      <c r="R2" s="211"/>
      <c r="S2" s="211"/>
      <c r="T2" s="211"/>
      <c r="U2" s="165"/>
      <c r="V2" s="165"/>
      <c r="W2" s="166"/>
      <c r="X2" s="165"/>
      <c r="Y2" s="165"/>
      <c r="Z2" s="165"/>
      <c r="AH2" s="153" t="s">
        <v>371</v>
      </c>
    </row>
    <row r="3" spans="1:34" s="20" customFormat="1" ht="241.15" customHeight="1">
      <c r="A3" s="280"/>
      <c r="B3" s="424"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4"/>
      <c r="D3" s="424"/>
      <c r="E3" s="424"/>
      <c r="F3" s="212"/>
      <c r="G3" s="425" t="str">
        <f ca="1">OFFSET(L!$C$1,MATCH("General"&amp;"Cpy",L!$A:$A,0)-1,SL,,)</f>
        <v>© 2020 Responsible Minerals Initiative. All rights reserved.</v>
      </c>
      <c r="H3" s="425"/>
      <c r="I3" s="426"/>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25">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8">
    <cfRule type="expression" dxfId="63" priority="20" stopIfTrue="1">
      <formula>IF(B5="",TRUE)</formula>
    </cfRule>
  </conditionalFormatting>
  <conditionalFormatting sqref="D5:D2498">
    <cfRule type="expression" dxfId="62" priority="14" stopIfTrue="1">
      <formula>IF(AND(LEN($C5) &gt;0, ($C5 &lt;&gt; "Smelter Not Listed")),1,0)</formula>
    </cfRule>
    <cfRule type="expression" dxfId="61" priority="39" stopIfTrue="1">
      <formula>IF(AND(D5="",$C5=$X$4),TRUE)</formula>
    </cfRule>
    <cfRule type="expression" dxfId="60" priority="40" stopIfTrue="1">
      <formula>IF(FIND("!",D5),TRUE)</formula>
    </cfRule>
  </conditionalFormatting>
  <conditionalFormatting sqref="G5:G2498">
    <cfRule type="expression" dxfId="59" priority="41" stopIfTrue="1">
      <formula>IF(FIND("Enter smelter details",G5),TRUE)</formula>
    </cfRule>
  </conditionalFormatting>
  <conditionalFormatting sqref="R5:R2498 E5:E2498">
    <cfRule type="expression" dxfId="58" priority="27" stopIfTrue="1">
      <formula>IF(AND(E5="",$C5=$X$4),TRUE)</formula>
    </cfRule>
    <cfRule type="expression" dxfId="57" priority="28" stopIfTrue="1">
      <formula>IF(FIND("!",E5),TRUE)</formula>
    </cfRule>
  </conditionalFormatting>
  <conditionalFormatting sqref="F5:F2498">
    <cfRule type="expression" dxfId="56" priority="18" stopIfTrue="1">
      <formula>IF(AND(LEN($A5)&gt;0,$A5&lt;&gt;$F5),TRUE,FALSE)</formula>
    </cfRule>
  </conditionalFormatting>
  <conditionalFormatting sqref="C5:C2500">
    <cfRule type="expression" dxfId="55" priority="17" stopIfTrue="1">
      <formula>IF(AND(#REF!&lt;&gt;"",C5=""),TRUE)</formula>
    </cfRule>
  </conditionalFormatting>
  <conditionalFormatting sqref="A53">
    <cfRule type="expression" priority="10">
      <formula>$A$5:$Q1996&lt;&gt;""</formula>
    </cfRule>
  </conditionalFormatting>
  <conditionalFormatting sqref="B2499:B2500">
    <cfRule type="expression" dxfId="54" priority="4" stopIfTrue="1">
      <formula>IF(B2499="",TRUE)</formula>
    </cfRule>
  </conditionalFormatting>
  <conditionalFormatting sqref="D2499:D2500">
    <cfRule type="expression" dxfId="53" priority="1" stopIfTrue="1">
      <formula>IF(AND(LEN($C2499) &gt;0, ($C2499 &lt;&gt; "Smelter Not Listed")),1,0)</formula>
    </cfRule>
    <cfRule type="expression" dxfId="52" priority="7" stopIfTrue="1">
      <formula>IF(AND(D2499="",$C2499=$X$4),TRUE)</formula>
    </cfRule>
    <cfRule type="expression" dxfId="51" priority="8" stopIfTrue="1">
      <formula>IF(FIND("!",D2499),TRUE)</formula>
    </cfRule>
  </conditionalFormatting>
  <conditionalFormatting sqref="G2499:G2500">
    <cfRule type="expression" dxfId="50" priority="9" stopIfTrue="1">
      <formula>IF(FIND("Enter smelter details",G2499),TRUE)</formula>
    </cfRule>
  </conditionalFormatting>
  <conditionalFormatting sqref="R2499:R2500 E2499:E2500">
    <cfRule type="expression" dxfId="49" priority="5" stopIfTrue="1">
      <formula>IF(AND(E2499="",$C2499=$X$4),TRUE)</formula>
    </cfRule>
    <cfRule type="expression" dxfId="48" priority="6" stopIfTrue="1">
      <formula>IF(FIND("!",E2499),TRUE)</formula>
    </cfRule>
  </conditionalFormatting>
  <conditionalFormatting sqref="F2499:F2500">
    <cfRule type="expression" dxfId="47" priority="3" stopIfTrue="1">
      <formula>IF(AND(LEN($A2499)&gt;0,$A2499&lt;&gt;$F2499),TRUE,FALSE)</formula>
    </cfRule>
  </conditionalFormatting>
  <dataValidations count="5">
    <dataValidation type="list" allowBlank="1" showInputMessage="1" showErrorMessage="1" sqref="B5:B2500">
      <formula1>$AA$3</formula1>
    </dataValidation>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M65"/>
  <sheetViews>
    <sheetView showGridLines="0" showZeros="0" workbookViewId="0">
      <pane xSplit="1" ySplit="3" topLeftCell="B10"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27" t="str">
        <f ca="1">OFFSET(L!$C$1,MATCH("Checker"&amp;ADDRESS(ROW(),COLUMN(),4),L!$A:$A,0)-1,SL,,)</f>
        <v>To ensure all required fields have been populated before submitting to your customers review form for any line items highlighted in red</v>
      </c>
      <c r="B1" s="427"/>
      <c r="C1" s="427"/>
      <c r="D1" s="127" t="str">
        <f ca="1">OFFSET(L!$C$1,MATCH("Checker"&amp;ADDRESS(ROW(),COLUMN(),4),L!$A:$A,0)-1,SL,,)</f>
        <v>Required fields remaining to be completed</v>
      </c>
      <c r="E1" s="74" t="s">
        <v>439</v>
      </c>
    </row>
    <row r="2" spans="1:10" ht="15">
      <c r="A2" s="67" t="s">
        <v>484</v>
      </c>
      <c r="B2" s="68" t="str">
        <f>IF(F57=1,"Click here to return to Smelter List","")</f>
        <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Champlain Cable Corporation</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Jordan Mayer</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jmayer@champcable.com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802-654-4280</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Jordan Mayer</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jmayer@champcable.com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802-654-4280</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44377</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No</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f>Declaration!D32</f>
        <v>0</v>
      </c>
      <c r="C20" s="161" t="str">
        <f t="shared" ca="1" si="3"/>
        <v>Complete</v>
      </c>
      <c r="D20" s="96" t="str">
        <f>IF(H20=1,"Click here to answer question 2 for Cobalt","")</f>
        <v/>
      </c>
      <c r="E20" s="74" t="s">
        <v>440</v>
      </c>
      <c r="F20" s="95">
        <f>IF(OR(B$15="No",B$15="Unknown"),0,1)</f>
        <v>0</v>
      </c>
      <c r="G20" s="71">
        <f t="shared" ref="G20:G55" si="5">IF(B20=0,1,0)</f>
        <v>1</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744</v>
      </c>
      <c r="F24" s="94"/>
      <c r="G24" s="19"/>
      <c r="H24" s="19"/>
      <c r="J24" s="157"/>
    </row>
    <row r="25" spans="1:10" ht="39">
      <c r="A25" s="91" t="str">
        <f ca="1">Declaration!B38</f>
        <v>Cobalt</v>
      </c>
      <c r="B25" s="90">
        <f>Declaration!D38</f>
        <v>0</v>
      </c>
      <c r="C25" s="161" t="str">
        <f ca="1">IF(H25=1,J25,I25)</f>
        <v>Complete</v>
      </c>
      <c r="D25" s="96" t="str">
        <f>IF(H25=1,"Click here to answer question 3 for Cobalt","")</f>
        <v/>
      </c>
      <c r="E25" s="74" t="s">
        <v>744</v>
      </c>
      <c r="F25" s="95">
        <f>F20</f>
        <v>0</v>
      </c>
      <c r="G25" s="71">
        <f>IF(B25=0,1,0)</f>
        <v>1</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f>Declaration!D44</f>
        <v>0</v>
      </c>
      <c r="C30" s="161" t="str">
        <f t="shared" ca="1" si="3"/>
        <v>Complete</v>
      </c>
      <c r="D30" s="98" t="str">
        <f>IF(H30=1,"Click here to answer question 4 for Cobalt","")</f>
        <v/>
      </c>
      <c r="E30" s="74" t="s">
        <v>439</v>
      </c>
      <c r="F30" s="95">
        <f>F20</f>
        <v>0</v>
      </c>
      <c r="G30" s="71">
        <f t="shared" si="5"/>
        <v>1</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441</v>
      </c>
      <c r="F34" s="94"/>
      <c r="G34" s="19"/>
      <c r="H34" s="19"/>
    </row>
    <row r="35" spans="1:10" ht="51.75">
      <c r="A35" s="91" t="str">
        <f ca="1">Declaration!B50</f>
        <v>Cobalt</v>
      </c>
      <c r="B35" s="90">
        <f>Declaration!D50</f>
        <v>0</v>
      </c>
      <c r="C35" s="161" t="str">
        <f t="shared" ca="1" si="3"/>
        <v>Complete</v>
      </c>
      <c r="D35" s="98" t="str">
        <f>IF(H35=1,"Click here to answer question 5 for Cobalt","")</f>
        <v/>
      </c>
      <c r="E35" s="74" t="s">
        <v>743</v>
      </c>
      <c r="F35" s="95">
        <f>F20</f>
        <v>0</v>
      </c>
      <c r="G35" s="71">
        <f t="shared" si="5"/>
        <v>1</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442</v>
      </c>
      <c r="F39" s="94"/>
      <c r="G39" s="19"/>
      <c r="H39" s="19"/>
    </row>
    <row r="40" spans="1:10" ht="39">
      <c r="A40" s="91" t="str">
        <f ca="1">Declaration!B56</f>
        <v>Cobalt</v>
      </c>
      <c r="B40" s="90">
        <f>Declaration!D56</f>
        <v>0</v>
      </c>
      <c r="C40" s="161" t="str">
        <f t="shared" ca="1" si="3"/>
        <v>Complete</v>
      </c>
      <c r="D40" s="98" t="str">
        <f>IF(H40=1,"Click here to answer question 6 for Cobalt","")</f>
        <v/>
      </c>
      <c r="E40" s="74" t="s">
        <v>440</v>
      </c>
      <c r="F40" s="95">
        <f>F20</f>
        <v>0</v>
      </c>
      <c r="G40" s="71">
        <f t="shared" si="5"/>
        <v>1</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f>Declaration!D63</f>
        <v>0</v>
      </c>
      <c r="C45" s="161" t="str">
        <f t="shared" ca="1" si="3"/>
        <v>Complete</v>
      </c>
      <c r="D45" s="267" t="str">
        <f>IF(H45=1,"Click here to answer question (A)","")</f>
        <v/>
      </c>
      <c r="E45" s="74" t="s">
        <v>744</v>
      </c>
      <c r="F45" s="95">
        <f>IF(SUM(F$20:F$23)=0,0,1)</f>
        <v>0</v>
      </c>
      <c r="G45" s="71">
        <f t="shared" si="5"/>
        <v>1</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f>Declaration!D65</f>
        <v>0</v>
      </c>
      <c r="C47" s="161" t="str">
        <f ca="1">IF(H47=1,J47,I47)</f>
        <v>Complete</v>
      </c>
      <c r="D47" s="268" t="str">
        <f>IF(H47=1,"Click here to answer question (B)","")</f>
        <v/>
      </c>
      <c r="E47" s="74" t="s">
        <v>744</v>
      </c>
      <c r="F47" s="95">
        <f t="shared" ref="F47:F55" si="7">F$45</f>
        <v>0</v>
      </c>
      <c r="G47" s="71">
        <f t="shared" si="5"/>
        <v>1</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f>Declaration!D67</f>
        <v>0</v>
      </c>
      <c r="C48" s="161" t="str">
        <f ca="1">IF(H48=1,J48,I48)</f>
        <v>Complete</v>
      </c>
      <c r="D48" s="268" t="str">
        <f>IF(H48=1,"Click here to answer question (C)","")</f>
        <v/>
      </c>
      <c r="E48" s="74" t="s">
        <v>744</v>
      </c>
      <c r="F48" s="95">
        <f t="shared" si="7"/>
        <v>0</v>
      </c>
      <c r="G48" s="71">
        <f t="shared" si="5"/>
        <v>1</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f>Declaration!D69</f>
        <v>0</v>
      </c>
      <c r="C49" s="346" t="str">
        <f t="shared" ca="1" si="3"/>
        <v>Complete</v>
      </c>
      <c r="D49" s="268" t="str">
        <f>IF(H49=1,"Click here to answer question (D)","")</f>
        <v/>
      </c>
      <c r="E49" s="74" t="s">
        <v>744</v>
      </c>
      <c r="F49" s="95">
        <f t="shared" si="7"/>
        <v>0</v>
      </c>
      <c r="G49" s="71">
        <f t="shared" si="5"/>
        <v>1</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 xml:space="preserve">E. Do you require your direct suppliers to source cobalt from smelters whose due diligence practices have been validated by an independent third party audit program? </v>
      </c>
      <c r="B50" s="90">
        <f>Declaration!D71</f>
        <v>0</v>
      </c>
      <c r="C50" s="161" t="str">
        <f ca="1">IF(H50=1,J50,I50)</f>
        <v>Complete</v>
      </c>
      <c r="D50" s="268" t="str">
        <f>IF(H50=1,"Click here to answer question (E)","")</f>
        <v/>
      </c>
      <c r="E50" s="74" t="s">
        <v>744</v>
      </c>
      <c r="F50" s="95">
        <f t="shared" si="7"/>
        <v>0</v>
      </c>
      <c r="G50" s="71">
        <f t="shared" si="5"/>
        <v>1</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 xml:space="preserve">F. Do you require suppliers' due diligence practices to cover, at a minimum, all risks in the OECD Due Diligence Guidance Annex II Model Policy, as well as the worst forms of child labor? </v>
      </c>
      <c r="B51" s="90">
        <f>Declaration!D73</f>
        <v>0</v>
      </c>
      <c r="C51" s="346" t="str">
        <f t="shared" ca="1" si="3"/>
        <v>Complete</v>
      </c>
      <c r="D51" s="268" t="str">
        <f>IF(H51=1,"Click here to answer question (F)","")</f>
        <v/>
      </c>
      <c r="E51" s="74" t="s">
        <v>744</v>
      </c>
      <c r="F51" s="95">
        <f t="shared" si="7"/>
        <v>0</v>
      </c>
      <c r="G51" s="71">
        <f t="shared" si="5"/>
        <v>1</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 xml:space="preserve">G. Does your company conduct cobalt supply chain survey(s) of your relevant supplier(s)? </v>
      </c>
      <c r="B53" s="90">
        <f>IF(Declaration!D75="No",Declaration!D75,IF(Declaration!D75="Yes, CRT",Declaration!D75,IF(Declaration!D75="Yes, Using Other Format (Describe)",Declaration!G75,0)))</f>
        <v>0</v>
      </c>
      <c r="C53" s="161" t="str">
        <f t="shared" ca="1" si="3"/>
        <v>Complete</v>
      </c>
      <c r="D53" s="268" t="str">
        <f>IF(H53=1,"Click here to answer question (G)","")</f>
        <v/>
      </c>
      <c r="E53" s="74" t="s">
        <v>744</v>
      </c>
      <c r="F53" s="95">
        <f t="shared" si="7"/>
        <v>0</v>
      </c>
      <c r="G53" s="71">
        <f t="shared" si="5"/>
        <v>1</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f>Declaration!D77</f>
        <v>0</v>
      </c>
      <c r="C54" s="346" t="str">
        <f t="shared" ca="1" si="3"/>
        <v>Complete</v>
      </c>
      <c r="D54" s="268" t="str">
        <f>IF(H54=1,"Click here to answer question (H)","")</f>
        <v/>
      </c>
      <c r="E54" s="74" t="s">
        <v>744</v>
      </c>
      <c r="F54" s="95">
        <f t="shared" si="7"/>
        <v>0</v>
      </c>
      <c r="G54" s="71">
        <f t="shared" si="5"/>
        <v>1</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f>Declaration!D79</f>
        <v>0</v>
      </c>
      <c r="C55" s="346" t="str">
        <f ca="1">IF(H55=1,J55,I55)</f>
        <v>Complete</v>
      </c>
      <c r="D55" s="268" t="str">
        <f>IF(H55=1,"Click here to answer question (I)","")</f>
        <v/>
      </c>
      <c r="E55" s="74" t="s">
        <v>744</v>
      </c>
      <c r="F55" s="95">
        <f t="shared" si="7"/>
        <v>0</v>
      </c>
      <c r="G55" s="71">
        <f t="shared" si="5"/>
        <v>1</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IF(K57=1,L57,IF(B15="No","Not Required",IF(G57=0,I57,J57)))</f>
        <v>Not Required</v>
      </c>
      <c r="D57" s="339" t="str">
        <f>IF(H57=0,"","Click here to provide smelter information")</f>
        <v/>
      </c>
      <c r="E57" s="74" t="s">
        <v>744</v>
      </c>
      <c r="F57" s="95">
        <f>F$45</f>
        <v>0</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dxfId="1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3" priority="52" stopIfTrue="1">
      <formula>OR(C48="Complete",C48="填写", C48="記入済",C48="완료",C48="Complétez",C48="Concluído",C48="Vollständig",C48="Completare",C48="Doldurun")</formula>
    </cfRule>
    <cfRule type="expression" dxfId="12" priority="16" stopIfTrue="1">
      <formula>B15="No"</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 ref="D56" location="'Product List'!A1" display="'Product List'!A1"/>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29" t="str">
        <f ca="1">OFFSET(L!$C$1,MATCH("Product List"&amp;ADDRESS(ROW(),COLUMN(),4),L!$A:$A,0)-1,SL,,)</f>
        <v>Completion required only if reporting level "Product (or List of Products)" selected on the 'Declaration' worksheet.</v>
      </c>
      <c r="B1" s="430"/>
      <c r="C1" s="430"/>
      <c r="D1" s="430"/>
      <c r="E1" s="126"/>
    </row>
    <row r="2" spans="1:35">
      <c r="A2" s="23"/>
      <c r="B2" s="128"/>
      <c r="C2" s="128"/>
      <c r="D2"/>
      <c r="E2" s="24"/>
    </row>
    <row r="3" spans="1:35">
      <c r="A3" s="23"/>
      <c r="B3" s="128"/>
      <c r="C3" s="128"/>
      <c r="D3" s="128"/>
      <c r="E3" s="24"/>
    </row>
    <row r="4" spans="1:35" ht="15.75" customHeight="1">
      <c r="A4" s="23"/>
      <c r="B4" s="428" t="s">
        <v>484</v>
      </c>
      <c r="C4" s="428"/>
      <c r="D4" s="428"/>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1" t="str">
        <f ca="1">OFFSET(L!$C$1,MATCH("General"&amp;"Cpy",L!$A:$A,0)-1,SL,,)</f>
        <v>© 2020 Responsible Minerals Initiative. All rights reserved.</v>
      </c>
      <c r="C1001" s="431"/>
      <c r="D1001" s="431"/>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3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2"/>
      <c r="C1" s="432"/>
      <c r="D1" s="432"/>
      <c r="E1" s="432"/>
      <c r="F1" s="432"/>
      <c r="G1" s="432"/>
    </row>
    <row r="2" spans="1:13">
      <c r="A2" s="433"/>
      <c r="B2" s="433"/>
      <c r="C2" s="433"/>
      <c r="D2" s="433"/>
      <c r="E2" s="433"/>
      <c r="F2" s="433"/>
      <c r="G2" s="433"/>
      <c r="H2" s="433"/>
      <c r="I2" s="433"/>
    </row>
    <row r="3" spans="1:13">
      <c r="A3" s="433"/>
      <c r="B3" s="433"/>
      <c r="C3" s="433"/>
      <c r="D3" s="433"/>
      <c r="E3" s="433"/>
      <c r="F3" s="433"/>
      <c r="G3" s="433"/>
      <c r="H3" s="433"/>
      <c r="I3" s="433"/>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ht="28.5">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56.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213.7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35">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71.25">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42.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28">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99.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42.2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409.5">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213.7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28.25">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71.25">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28.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ht="28.5">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99.7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ht="28.5">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customSheetViews>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 guid="{4BDF1A28-30D5-449D-B20E-D6C97EF9FAE1}" showAutoFilter="1">
      <selection activeCell="C174" sqref="C174"/>
      <pageMargins left="0.75" right="0.75" top="1" bottom="1" header="0.3" footer="0.3"/>
      <pageSetup paperSize="9" orientation="portrait"/>
      <autoFilter ref="B1:N1"/>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openxmlformats.org/package/2006/metadata/core-properties"/>
    <ds:schemaRef ds:uri="98893d5f-232f-4f98-b444-edffba233996"/>
    <ds:schemaRef ds:uri="http://purl.org/dc/terms/"/>
    <ds:schemaRef ds:uri="http://schemas.microsoft.com/office/2006/documentManagement/types"/>
    <ds:schemaRef ds:uri="http://purl.org/dc/elements/1.1/"/>
    <ds:schemaRef ds:uri="http://www.w3.org/XML/1998/namespace"/>
    <ds:schemaRef ds:uri="http://schemas.microsoft.com/office/infopath/2007/PartnerControls"/>
    <ds:schemaRef ds:uri="a54701f6-876b-4337-a24e-543e1bd311e6"/>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Mayer, Jordan</cp:lastModifiedBy>
  <cp:lastPrinted>2015-04-21T20:47:43Z</cp:lastPrinted>
  <dcterms:created xsi:type="dcterms:W3CDTF">2010-06-21T21:00:23Z</dcterms:created>
  <dcterms:modified xsi:type="dcterms:W3CDTF">2021-06-30T15:36:41Z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