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Y:\Product Compliance\Certifications\Conflict Minerals Report\"/>
    </mc:Choice>
  </mc:AlternateContent>
  <xr:revisionPtr revIDLastSave="0" documentId="8_{A4C42361-F376-4800-860B-E6A7811E02CB}"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<sst xmlns="http://schemas.openxmlformats.org/spreadsheetml/2006/main" count="15004" uniqueCount="12822">
  <si>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</si>
  <si>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</si>
  <si>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</si>
  <si>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</si>
  <si>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</si>
  <si>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</si>
  <si>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</si>
  <si>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</si>
  <si>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</si>
  <si>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</si>
  <si>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</si>
  <si>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</si>
  <si>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</si>
  <si>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</si>
  <si>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</si>
  <si>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</si>
  <si>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</si>
  <si>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</si>
  <si>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</si>
  <si>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</si>
  <si>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</si>
  <si>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</si>
  <si>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</si>
  <si>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</si>
  <si>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</si>
  <si>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</si>
  <si>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</si>
  <si>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</si>
  <si>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</si>
  <si>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</si>
  <si>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</si>
  <si>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</si>
  <si>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</si>
  <si>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</si>
  <si>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</si>
  <si>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</si>
  <si>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</si>
  <si>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</si>
  <si>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</si>
  <si>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</si>
  <si>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</si>
  <si>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</si>
  <si>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</si>
  <si>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</si>
  <si>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</si>
  <si>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</si>
  <si>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</si>
  <si>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</si>
  <si>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</si>
  <si>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</si>
  <si>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</si>
  <si>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</si>
  <si>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</si>
  <si>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</si>
  <si>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</si>
  <si>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</si>
  <si>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</si>
  <si>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</si>
  <si>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</si>
  <si>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</si>
  <si>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</si>
  <si>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</si>
  <si>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</si>
  <si>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</si>
  <si>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</si>
  <si>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</si>
  <si>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</si>
  <si>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</si>
  <si>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</si>
  <si>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</si>
  <si>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</si>
  <si>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</si>
  <si>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</si>
  <si>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</si>
  <si>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</si>
  <si>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</si>
  <si>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</si>
  <si>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</si>
  <si>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</si>
  <si>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</si>
  <si>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</si>
  <si>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</si>
  <si>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</si>
  <si>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</si>
  <si>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</si>
  <si>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</si>
  <si>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</si>
  <si>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</si>
  <si>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</si>
  <si>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</si>
  <si>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</si>
  <si>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</si>
  <si>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</si>
  <si>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</si>
  <si>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</si>
  <si>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</si>
  <si>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</si>
  <si>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</si>
  <si>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</si>
  <si>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</si>
  <si>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</si>
  <si>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</si>
  <si>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</si>
  <si>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</si>
  <si>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</si>
  <si>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</si>
  <si>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</si>
  <si>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</si>
  <si>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</si>
  <si>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</si>
  <si>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</si>
  <si>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</si>
  <si>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</si>
  <si>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</si>
  <si>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</si>
  <si>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</si>
  <si>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</si>
  <si>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</si>
  <si>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</si>
  <si>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</si>
  <si>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</si>
  <si>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</si>
  <si>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</si>
  <si>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</si>
  <si>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</si>
  <si>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</si>
  <si>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</si>
  <si>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</si>
  <si>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</si>
  <si>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</si>
  <si>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</si>
  <si>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</si>
  <si>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</si>
  <si>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</si>
  <si>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</si>
  <si>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</si>
  <si>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</si>
  <si>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</si>
  <si>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</si>
  <si>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</si>
  <si>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</si>
  <si>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</si>
  <si>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</si>
  <si>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</si>
  <si>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</si>
  <si>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</si>
  <si>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</si>
  <si>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</si>
  <si>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</si>
  <si>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</si>
  <si>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</si>
  <si>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</si>
  <si>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</si>
  <si>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</si>
  <si>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</si>
  <si>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</si>
  <si>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</si>
  <si>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</si>
  <si>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</si>
  <si>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</si>
  <si>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</si>
  <si>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</si>
  <si>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</si>
  <si>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</si>
  <si>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</si>
  <si>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</si>
  <si>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</si>
  <si>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</si>
  <si>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</si>
  <si>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</si>
  <si>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</si>
  <si>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</si>
  <si>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</si>
  <si>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</si>
  <si>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</si>
  <si>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</si>
  <si>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</si>
  <si>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</si>
  <si>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</si>
  <si>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</si>
  <si>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</si>
  <si>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</si>
  <si>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</si>
  <si>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</si>
  <si>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</si>
  <si>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</si>
  <si>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</si>
  <si>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</si>
  <si>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</si>
  <si>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</si>
  <si>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</si>
  <si>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</si>
  <si>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</si>
  <si>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</si>
  <si>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</si>
  <si>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</si>
  <si>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</si>
  <si>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</si>
  <si>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</si>
  <si>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</si>
  <si>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</si>
  <si>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</si>
  <si>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</si>
  <si>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</si>
  <si>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</si>
  <si>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</si>
  <si>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</si>
  <si>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</si>
  <si>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</si>
  <si>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</si>
  <si>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</si>
  <si>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</si>
  <si>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</si>
  <si>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</si>
  <si>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</si>
  <si>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</si>
  <si>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</si>
  <si>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</si>
  <si>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</si>
  <si>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</si>
  <si>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</si>
  <si>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</si>
  <si>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</si>
  <si>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</si>
  <si>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</si>
  <si>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</si>
  <si>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</si>
  <si>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</si>
  <si>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</si>
  <si>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</si>
  <si>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</si>
  <si>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</si>
  <si>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</si>
  <si>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</si>
  <si>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</si>
  <si>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</si>
  <si>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</si>
  <si>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</si>
  <si>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</si>
  <si>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</si>
  <si>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</si>
  <si>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</si>
  <si>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</si>
  <si>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</si>
  <si>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</si>
  <si>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</si>
  <si>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</si>
  <si>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</si>
  <si>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</si>
  <si>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</si>
  <si>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</si>
  <si>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</si>
  <si>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</si>
  <si>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</si>
  <si>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</si>
  <si>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</si>
  <si>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</si>
  <si>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</si>
  <si>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</si>
  <si>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</si>
  <si>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</si>
  <si>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</si>
  <si>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</si>
  <si>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</si>
  <si>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</si>
  <si>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</si>
  <si>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</si>
  <si>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</si>
  <si>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</si>
  <si>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</si>
  <si>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</si>
  <si>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</si>
  <si>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</si>
  <si>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</si>
  <si>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</si>
  <si>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</si>
  <si>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</si>
  <si>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</si>
  <si>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</si>
  <si>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</si>
  <si>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</si>
  <si>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</si>
  <si>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</si>
  <si>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</si>
  <si>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</si>
  <si>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</si>
  <si>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</si>
  <si>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</si>
  <si>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</si>
  <si>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</si>
  <si>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</si>
  <si>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</si>
  <si>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</si>
  <si>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</si>
  <si>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</si>
  <si>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</si>
  <si>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</si>
  <si>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</si>
  <si>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</si>
  <si>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</si>
  <si>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</si>
  <si>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</si>
  <si>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</si>
  <si>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</si>
  <si>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</si>
  <si>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</si>
  <si>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</si>
  <si>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</si>
  <si>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</si>
  <si>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</si>
  <si>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</si>
  <si>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</si>
  <si>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</si>
  <si>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</si>
  <si>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</si>
  <si>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</si>
  <si>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</si>
  <si>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</si>
  <si>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</si>
  <si>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</si>
  <si>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</si>
  <si>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</si>
  <si>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</si>
  <si>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</si>
  <si>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</si>
  <si>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</si>
  <si>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</si>
  <si>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</si>
  <si>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</si>
  <si>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</si>
  <si>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</si>
  <si>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</si>
  <si>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</si>
  <si>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</si>
  <si>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</si>
  <si>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</si>
  <si>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</si>
  <si>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</si>
  <si>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</si>
  <si>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</si>
  <si>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</si>
  <si>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</si>
  <si>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</si>
  <si>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</si>
  <si>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</si>
  <si>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</si>
  <si>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</si>
  <si>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</si>
  <si>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</si>
  <si>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</si>
  <si>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</si>
  <si>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</si>
  <si>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</si>
  <si>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</si>
  <si>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</si>
  <si>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</si>
  <si>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</si>
  <si>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</si>
  <si>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</si>
  <si>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</si>
  <si>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</si>
  <si>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</si>
  <si>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</si>
  <si>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</si>
  <si>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</si>
  <si>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</si>
  <si>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</si>
  <si>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</si>
  <si>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</si>
  <si>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</si>
  <si>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</si>
  <si>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</si>
  <si>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</si>
  <si>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</si>
  <si>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</si>
  <si>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</si>
  <si>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</si>
  <si>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</si>
  <si>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</si>
  <si>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</si>
  <si>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</si>
  <si>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</si>
  <si>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</si>
  <si>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</si>
  <si>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</si>
  <si>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</si>
  <si>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</si>
  <si>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</si>
  <si>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</si>
  <si>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</si>
  <si>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</si>
  <si>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</si>
  <si>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</si>
  <si>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</si>
  <si>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</si>
  <si>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</si>
  <si>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</si>
  <si>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</si>
  <si>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</si>
  <si>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</si>
  <si>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</si>
  <si>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</si>
  <si>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</si>
  <si>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</si>
  <si>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</si>
  <si>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</si>
  <si>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</si>
  <si>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</si>
  <si>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</si>
  <si>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</si>
  <si>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</si>
  <si>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</si>
  <si>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</si>
  <si>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</si>
  <si>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</si>
  <si>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</si>
  <si>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</si>
  <si>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</si>
  <si>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</si>
  <si>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</si>
  <si>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</si>
  <si>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</si>
  <si>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</si>
  <si>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</si>
  <si>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</si>
  <si>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</si>
  <si>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</si>
  <si>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</si>
  <si>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</si>
  <si>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</si>
  <si>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</si>
  <si>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</si>
  <si>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</si>
  <si>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</si>
  <si>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</si>
  <si>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</si>
  <si>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</si>
  <si>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</si>
  <si>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</si>
  <si>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</si>
  <si>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</si>
  <si>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</si>
  <si>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</si>
  <si>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</si>
  <si>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</si>
  <si>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</si>
  <si>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</si>
  <si>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</si>
  <si>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</si>
  <si>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</si>
  <si>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</si>
  <si>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</si>
  <si>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</si>
  <si>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</si>
  <si>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</si>
  <si>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</si>
  <si>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</si>
  <si>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</si>
  <si>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</si>
  <si>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</si>
  <si>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</si>
  <si>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</si>
  <si>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</si>
  <si>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</si>
  <si>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</si>
  <si>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</si>
  <si>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</si>
  <si>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</si>
  <si>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</si>
  <si>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</si>
  <si>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</si>
  <si>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</si>
  <si>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</si>
  <si>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</si>
  <si>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</si>
  <si>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</si>
  <si>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</si>
  <si>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</si>
  <si>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</si>
  <si>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</si>
  <si>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</si>
  <si>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</si>
  <si>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</si>
  <si>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</si>
  <si>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</si>
  <si>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</si>
  <si>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</si>
  <si>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</si>
  <si>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</si>
  <si>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</si>
  <si>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</si>
  <si>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</si>
  <si>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</si>
  <si>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</si>
  <si>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</si>
  <si>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</si>
  <si>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</si>
  <si>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</si>
  <si>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</si>
  <si>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</si>
  <si>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</si>
  <si>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</si>
  <si>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</si>
  <si>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</si>
  <si>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</si>
  <si>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</si>
  <si>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</si>
  <si>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</si>
  <si>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</si>
  <si>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</si>
  <si>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</si>
  <si>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</si>
  <si>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</si>
  <si>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</si>
  <si>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</si>
  <si>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</si>
  <si>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</si>
  <si>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</si>
  <si>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</si>
  <si>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</si>
  <si>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</si>
  <si>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</si>
  <si>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</si>
  <si>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</si>
  <si>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</si>
  <si>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</si>
  <si>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</si>
  <si>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</si>
  <si>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</si>
  <si>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</si>
  <si>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</si>
  <si>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</si>
  <si>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</si>
  <si>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</si>
  <si>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</si>
  <si>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</si>
  <si>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</si>
  <si>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</si>
  <si>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</si>
  <si>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</si>
  <si>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</si>
  <si>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</si>
  <si>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</si>
  <si>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</si>
  <si>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</si>
  <si>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</si>
  <si>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</si>
  <si>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</si>
  <si>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</si>
  <si>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</si>
  <si>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</si>
  <si>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</si>
  <si>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</si>
  <si>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</si>
  <si>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</si>
  <si>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</si>
  <si>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</si>
  <si>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</si>
  <si>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</si>
  <si>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</si>
  <si>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</si>
  <si>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</si>
  <si>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</si>
  <si>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</si>
  <si>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</si>
  <si>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</si>
  <si>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</si>
  <si>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</si>
  <si>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</si>
  <si>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</si>
  <si>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</si>
  <si>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</si>
  <si>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</si>
  <si>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</si>
  <si>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</si>
  <si>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</si>
  <si>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</si>
  <si>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</si>
  <si>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</si>
  <si>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</si>
  <si>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</si>
  <si>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</si>
  <si>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</si>
  <si>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</si>
  <si>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</si>
  <si>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</si>
  <si>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</si>
  <si>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</si>
  <si>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</si>
  <si>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</si>
  <si>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</si>
  <si>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</si>
  <si>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</si>
  <si>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</si>
  <si>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</si>
  <si>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</si>
  <si>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</si>
  <si>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</si>
  <si>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</si>
  <si>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</si>
  <si>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</si>
  <si>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</si>
  <si>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</si>
  <si>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</si>
  <si>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</si>
  <si>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</si>
  <si>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</si>
  <si>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</si>
  <si>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</si>
  <si>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</si>
  <si>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</si>
  <si>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</si>
  <si>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</si>
  <si>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</si>
  <si>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</si>
  <si>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</si>
  <si>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</si>
  <si>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</si>
  <si>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</si>
  <si>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</si>
  <si>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</si>
  <si>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</si>
  <si>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</si>
  <si>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</si>
  <si>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</si>
  <si>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</si>
  <si>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</si>
  <si>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</si>
  <si>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</si>
  <si>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</si>
  <si>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</si>
  <si>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</si>
  <si>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</si>
  <si>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</si>
  <si>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</si>
  <si>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</si>
  <si>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</si>
  <si>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</si>
  <si>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</si>
  <si>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</si>
  <si>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</si>
  <si>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</si>
  <si>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</si>
  <si>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</si>
  <si>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</si>
  <si>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</si>
  <si>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</si>
  <si>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</si>
  <si>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</si>
  <si>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</si>
  <si>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</si>
  <si>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</si>
  <si>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</si>
  <si>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</si>
  <si>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</si>
  <si>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</si>
  <si>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</si>
  <si>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</si>
  <si>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</si>
  <si>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</si>
  <si>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</si>
  <si>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</si>
  <si>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</si>
  <si>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</si>
  <si>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</si>
  <si>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</si>
  <si>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</si>
  <si>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</si>
  <si>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</si>
  <si>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</si>
  <si>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</si>
  <si>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</si>
  <si>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</si>
  <si>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</si>
  <si>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</si>
  <si>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</si>
  <si>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</si>
  <si>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</si>
  <si>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</si>
  <si>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</si>
  <si>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</si>
  <si>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</si>
  <si>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</si>
  <si>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</si>
  <si>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</si>
  <si>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</si>
  <si>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</si>
  <si>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</si>
  <si>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</si>
  <si>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</si>
  <si>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</si>
  <si>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</si>
  <si>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</si>
  <si>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</si>
  <si>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</si>
  <si>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</si>
  <si>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</si>
  <si>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</si>
  <si>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</si>
  <si>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</si>
  <si>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</si>
  <si>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</si>
  <si>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</si>
  <si>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</si>
  <si>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</si>
  <si>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</si>
  <si>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</si>
  <si>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</si>
  <si>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</si>
  <si>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</si>
  <si>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</si>
  <si>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</si>
  <si>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</si>
  <si>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</si>
  <si>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</si>
  <si>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</si>
  <si>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</si>
  <si>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</si>
  <si>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</si>
  <si>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</si>
  <si>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</si>
  <si>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</si>
  <si>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</si>
  <si>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</si>
  <si>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</si>
  <si>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</si>
  <si>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</si>
  <si>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</si>
  <si>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</si>
  <si>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</si>
  <si>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</si>
  <si>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</si>
  <si>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</si>
  <si>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</si>
  <si>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</si>
  <si>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</si>
  <si>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</si>
  <si>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</si>
  <si>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</si>
  <si>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</si>
  <si>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</si>
  <si>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</si>
  <si>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</si>
  <si>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</si>
  <si>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</si>
  <si>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</si>
  <si>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</si>
  <si>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</si>
  <si>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</si>
  <si>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</si>
  <si>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</si>
  <si>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</si>
  <si>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</si>
  <si>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</si>
  <si>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</si>
  <si>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</si>
  <si>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</si>
  <si>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</si>
  <si>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</si>
  <si>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</si>
  <si>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</si>
  <si>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</si>
  <si>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</si>
  <si>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</si>
  <si>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</si>
  <si>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</si>
  <si>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</si>
  <si>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</si>
  <si>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</si>
  <si>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</si>
  <si>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</si>
  <si>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</si>
  <si>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</si>
  <si>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</si>
  <si>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</si>
  <si>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</si>
  <si>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</si>
  <si>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</si>
  <si>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</si>
  <si>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</si>
  <si>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</si>
  <si>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</si>
  <si>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</si>
  <si>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</si>
  <si>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</si>
  <si>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</si>
  <si>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</si>
  <si>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</si>
  <si>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</si>
  <si>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</si>
  <si>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</si>
  <si>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</si>
  <si>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</si>
  <si>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</si>
  <si>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</si>
  <si>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</si>
  <si>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</si>
  <si>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</si>
  <si>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</si>
  <si>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</si>
  <si>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</si>
  <si>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</si>
  <si>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</si>
  <si>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</si>
  <si>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</si>
  <si>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</si>
  <si>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</si>
  <si>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</si>
  <si>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</si>
  <si>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</si>
  <si>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</si>
  <si>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</si>
  <si>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</si>
  <si>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</si>
  <si>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</si>
  <si>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</si>
  <si>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</si>
  <si>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</si>
  <si>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</si>
  <si>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</si>
  <si>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</si>
  <si>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</si>
  <si>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</si>
  <si>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</si>
  <si>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</si>
  <si>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</si>
  <si>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</si>
  <si>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</si>
  <si>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</si>
  <si>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</si>
  <si>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</si>
  <si>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</si>
  <si>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</si>
  <si>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</si>
  <si>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</si>
  <si>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</si>
  <si>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</si>
  <si>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</si>
  <si>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</si>
  <si>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</si>
  <si>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</si>
  <si>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</si>
  <si>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</si>
  <si>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</si>
  <si>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</si>
  <si>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</si>
  <si>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</si>
  <si>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</si>
  <si>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</si>
  <si>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</si>
  <si>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</si>
  <si>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</si>
  <si>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</si>
  <si>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</si>
  <si>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</si>
  <si>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</si>
  <si>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</si>
  <si>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</si>
  <si>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</si>
  <si>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</si>
  <si>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</si>
  <si>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</si>
  <si>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</si>
  <si>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</si>
  <si>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</si>
  <si>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</si>
  <si>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</si>
  <si>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</si>
  <si>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</si>
  <si>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</si>
  <si>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</si>
  <si>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</si>
  <si>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</si>
  <si>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</si>
  <si>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</si>
  <si>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</si>
  <si>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</si>
  <si>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</si>
  <si>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</si>
  <si>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</si>
  <si>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</si>
  <si>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</si>
  <si>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</si>
  <si>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</si>
  <si>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</si>
  <si>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</si>
  <si>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</si>
  <si>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</si>
  <si>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</si>
  <si>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</si>
  <si>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</si>
  <si>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</si>
  <si>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</si>
  <si>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</si>
  <si>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</si>
  <si>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</si>
  <si>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</si>
  <si>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</si>
  <si>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</si>
  <si>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</si>
  <si>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</si>
  <si>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</si>
  <si>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</si>
  <si>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</si>
  <si>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</si>
  <si>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</si>
  <si>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</si>
  <si>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</si>
  <si>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</si>
  <si>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</si>
  <si>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</si>
  <si>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</si>
  <si>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</si>
  <si>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</si>
  <si>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</si>
  <si>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</si>
  <si>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</si>
  <si>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</si>
  <si>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</si>
  <si>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</si>
  <si>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</si>
  <si>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</si>
  <si>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</si>
  <si>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</si>
  <si>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</si>
  <si>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</si>
  <si>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</si>
  <si>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</si>
  <si>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</si>
  <si>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</si>
  <si>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</si>
  <si>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</si>
  <si>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</si>
  <si>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</si>
  <si>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</si>
  <si>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</si>
  <si>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</si>
  <si>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</si>
  <si>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</si>
  <si>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</si>
  <si>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</si>
  <si>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</si>
  <si>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</si>
  <si>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</si>
  <si>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</si>
  <si>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</si>
  <si>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</si>
  <si>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</si>
  <si>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</si>
  <si>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</si>
  <si>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</si>
  <si>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</si>
  <si>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</si>
  <si>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</si>
  <si>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</si>
  <si>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</si>
  <si>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</si>
  <si>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</si>
  <si>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</si>
  <si>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</si>
  <si>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</si>
  <si>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</si>
  <si>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</si>
  <si>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</si>
  <si>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</si>
  <si>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</si>
  <si>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</si>
  <si>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</si>
  <si>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</si>
  <si>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</si>
  <si>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</si>
  <si>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</si>
  <si>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</si>
  <si>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</si>
  <si>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</si>
  <si>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</si>
  <si>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</si>
  <si>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</si>
  <si>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</si>
  <si>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</si>
  <si>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</si>
  <si>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</si>
  <si>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</si>
  <si>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</si>
  <si>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</si>
  <si>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</si>
  <si>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</si>
  <si>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</si>
  <si>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</si>
  <si>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</si>
  <si>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</si>
  <si>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</si>
  <si>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</si>
  <si>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</si>
  <si>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</si>
  <si>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</si>
  <si>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</si>
  <si>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</si>
  <si>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</si>
  <si>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</si>
  <si>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</si>
  <si>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</si>
  <si>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</si>
  <si>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</si>
  <si>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</si>
  <si>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</si>
  <si>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</si>
  <si>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</si>
  <si>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</si>
  <si>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</si>
  <si>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</si>
  <si>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</si>
  <si>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</si>
  <si>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</si>
  <si>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</si>
  <si>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</si>
  <si>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</si>
  <si>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</si>
  <si>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</si>
  <si>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</si>
  <si>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</si>
  <si>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</si>
  <si>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</si>
  <si>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</si>
  <si>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</si>
  <si>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</si>
  <si>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</si>
  <si>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</si>
  <si>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</si>
  <si>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</si>
  <si>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</si>
  <si>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</si>
  <si>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</si>
  <si>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</si>
  <si>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</si>
  <si>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</si>
  <si>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</si>
  <si>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</si>
  <si>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</si>
  <si>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</si>
  <si>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</si>
  <si>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</si>
  <si>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</si>
  <si>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</si>
  <si>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</si>
  <si>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</si>
  <si>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</si>
  <si>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</si>
  <si>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</si>
  <si>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</si>
  <si>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</si>
  <si>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</si>
  <si>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</si>
  <si>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</si>
  <si>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</si>
  <si>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</si>
  <si>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</si>
  <si>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</si>
  <si>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</si>
  <si>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</si>
  <si>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</si>
  <si>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</si>
  <si>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</si>
  <si>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</si>
  <si>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</si>
  <si>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</si>
  <si>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</si>
  <si>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</si>
  <si>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</si>
  <si>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</si>
  <si>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</si>
  <si>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</si>
  <si>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</si>
  <si>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</si>
  <si>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</si>
  <si>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</si>
  <si>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</si>
  <si>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</si>
  <si>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</si>
  <si>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</si>
  <si>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</si>
  <si>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</si>
  <si>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</si>
  <si>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</si>
  <si>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</si>
  <si>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</si>
  <si>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</si>
  <si>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</si>
  <si>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</si>
  <si>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</si>
  <si>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</si>
  <si>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</si>
  <si>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</si>
  <si>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</si>
  <si>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</si>
  <si>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</si>
  <si>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</si>
  <si>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</si>
  <si>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</si>
  <si>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</si>
  <si>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</si>
  <si>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</si>
  <si>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</si>
  <si>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</si>
  <si>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</si>
  <si>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</si>
  <si>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</si>
  <si>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</si>
  <si>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</si>
  <si>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</si>
  <si>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</si>
  <si>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</si>
  <si>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</si>
  <si>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</si>
  <si>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</si>
  <si>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</si>
  <si>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</si>
  <si>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</si>
  <si>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</si>
  <si>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</si>
  <si>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</si>
  <si>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</si>
  <si>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</si>
  <si>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</si>
  <si>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</si>
  <si>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</si>
  <si>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</si>
  <si>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</si>
  <si>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</si>
  <si>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</si>
  <si>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</si>
  <si>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</si>
  <si>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</si>
  <si>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</si>
  <si>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</si>
  <si>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</si>
  <si>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</si>
  <si>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</si>
  <si>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</si>
  <si>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</si>
  <si>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</si>
  <si>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</si>
  <si>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</si>
  <si>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</si>
  <si>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</si>
  <si>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</si>
  <si>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</si>
  <si>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</si>
  <si>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</si>
  <si>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</si>
  <si>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</si>
  <si>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</si>
  <si>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</si>
  <si>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</si>
  <si>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</si>
  <si>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</si>
  <si>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</si>
  <si>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</si>
  <si>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</si>
  <si>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</si>
  <si>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</si>
  <si>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</si>
  <si>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</si>
  <si>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</si>
  <si>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</si>
  <si>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</si>
  <si>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</si>
  <si>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</si>
  <si>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</si>
  <si>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</si>
  <si>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</si>
  <si>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</si>
  <si>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</si>
  <si>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</si>
  <si>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</si>
  <si>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</si>
  <si>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</si>
  <si>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</si>
  <si>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</si>
  <si>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</si>
  <si>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</si>
  <si>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</si>
  <si>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</si>
  <si>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</si>
  <si>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</si>
  <si>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</si>
  <si>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</si>
  <si>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</si>
  <si>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</si>
  <si>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</si>
  <si>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</si>
  <si>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</si>
  <si>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</si>
  <si>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</si>
  <si>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</si>
  <si>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</si>
  <si>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</si>
  <si>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</si>
  <si>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</si>
  <si>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</si>
  <si>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</si>
  <si>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</si>
  <si>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</si>
  <si>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</si>
  <si>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</si>
  <si>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</si>
  <si>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</si>
  <si>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</si>
  <si>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</si>
  <si>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</si>
  <si>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</si>
  <si>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</si>
  <si>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</si>
  <si>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</si>
  <si>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</si>
  <si>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</si>
  <si>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</si>
  <si>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</si>
  <si>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</si>
  <si>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</si>
  <si>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</si>
  <si>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</si>
  <si>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</si>
  <si>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</si>
  <si>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</si>
  <si>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</si>
  <si>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</si>
  <si>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</si>
  <si>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</si>
  <si>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</si>
  <si>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</si>
  <si>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</si>
  <si>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</si>
  <si>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</si>
  <si>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</si>
  <si>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</si>
  <si>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</si>
  <si>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</si>
  <si>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</si>
  <si>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</si>
  <si>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</si>
  <si>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</si>
  <si>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</si>
  <si>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</si>
  <si>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</si>
  <si>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</si>
  <si>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</si>
  <si>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</si>
  <si>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</si>
  <si>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</si>
  <si>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</si>
  <si>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</si>
  <si>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</si>
  <si>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</si>
  <si>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</si>
  <si>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</si>
  <si>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</si>
  <si>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</si>
  <si>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</si>
  <si>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</si>
  <si>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</si>
  <si>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</si>
  <si>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</si>
  <si>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</si>
  <si>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</si>
  <si>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</si>
  <si>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</si>
  <si>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</si>
  <si>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</si>
  <si>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</si>
  <si>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</si>
  <si>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</si>
  <si>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</si>
  <si>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</si>
  <si>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</si>
  <si>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</si>
  <si>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</si>
  <si>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</si>
  <si>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</si>
  <si>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</si>
  <si>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</si>
  <si>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</si>
  <si>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</si>
  <si>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</si>
  <si>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</si>
  <si>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</si>
  <si>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</si>
  <si>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</si>
  <si>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</si>
  <si>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</si>
  <si>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</si>
  <si>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</si>
  <si>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</si>
  <si>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</si>
  <si>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</si>
  <si>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</si>
  <si>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</si>
  <si>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</si>
  <si>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</si>
  <si>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</si>
  <si>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</si>
  <si>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</si>
  <si>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</si>
  <si>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</si>
  <si>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</si>
  <si>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</si>
  <si>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</si>
  <si>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</si>
  <si>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</si>
  <si>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</si>
  <si>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</si>
  <si>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</si>
  <si>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</si>
  <si>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</si>
  <si>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</si>
  <si>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</si>
  <si>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</si>
  <si>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</si>
  <si>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</si>
  <si>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</si>
  <si>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</si>
  <si>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</si>
  <si>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</si>
  <si>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</si>
  <si>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</si>
  <si>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</si>
  <si>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</si>
  <si>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</si>
  <si>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</si>
  <si>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</si>
  <si>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</si>
  <si>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</si>
  <si>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</si>
  <si>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</si>
  <si>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</si>
  <si>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</si>
  <si>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</si>
  <si>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</si>
  <si>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</si>
  <si>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</si>
  <si>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</si>
  <si>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</si>
  <si>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</si>
  <si>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</si>
  <si>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</si>
  <si>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</si>
  <si>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</si>
  <si>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</si>
  <si>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</si>
  <si>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</si>
  <si>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</si>
  <si>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</si>
  <si>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</si>
  <si>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</si>
  <si>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</si>
  <si>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</si>
  <si>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</si>
  <si>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</si>
  <si>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</si>
  <si>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</si>
  <si>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</si>
  <si>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</si>
  <si>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</si>
  <si>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</si>
  <si>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</si>
  <si>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</si>
  <si>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</si>
  <si>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</si>
  <si>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</si>
  <si>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</si>
  <si>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</si>
  <si>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</si>
  <si>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</si>
  <si>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</si>
  <si>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</si>
  <si>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</si>
  <si>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</si>
  <si>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</si>
  <si>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</si>
  <si>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</si>
  <si>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</si>
  <si>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</si>
  <si>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</si>
  <si>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</si>
  <si>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</si>
  <si>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</si>
  <si>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</si>
  <si>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</si>
  <si>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</si>
  <si>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</si>
  <si>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</si>
  <si>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</si>
  <si>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</si>
  <si>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</si>
  <si>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</si>
  <si>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</si>
  <si>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</si>
  <si>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</si>
  <si>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</si>
  <si>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</si>
  <si>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</si>
  <si>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</si>
  <si>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</si>
  <si>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</si>
  <si>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</si>
  <si>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</si>
  <si>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</si>
  <si>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</si>
  <si>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</si>
  <si>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</si>
  <si>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</si>
  <si>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</si>
  <si>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</si>
  <si>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</si>
  <si>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</si>
  <si>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</si>
  <si>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</si>
  <si>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</si>
  <si>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</si>
  <si>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</si>
  <si>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</si>
  <si>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</si>
  <si>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</si>
  <si>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</si>
  <si>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</si>
  <si>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</si>
  <si>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</si>
  <si>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</si>
  <si>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</si>
  <si>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</si>
  <si>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</si>
  <si>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</si>
  <si>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</si>
  <si>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</si>
  <si>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</si>
  <si>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</si>
  <si>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</si>
  <si>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</si>
  <si>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</si>
  <si>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</si>
  <si>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</si>
  <si>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</si>
  <si>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</si>
  <si>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</si>
  <si>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</si>
  <si>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</si>
  <si>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</si>
  <si>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</si>
  <si>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</si>
  <si>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</si>
  <si>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</si>
  <si>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</si>
  <si>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</si>
  <si>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</si>
  <si>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</si>
  <si>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</si>
  <si>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</si>
  <si>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</si>
  <si>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</si>
  <si>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</si>
  <si>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</si>
  <si>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</si>
  <si>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</si>
  <si>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</si>
  <si>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</si>
  <si>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</si>
  <si>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</si>
  <si>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</si>
  <si>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</si>
  <si>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</si>
  <si>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</si>
  <si>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</si>
  <si>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</si>
  <si>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</si>
  <si>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</si>
  <si>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</si>
  <si>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</si>
  <si>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</si>
  <si>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</si>
  <si>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</si>
  <si>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</si>
  <si>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</si>
  <si>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</si>
  <si>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</si>
  <si>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</si>
  <si>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</si>
  <si>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</si>
  <si>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</si>
  <si>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</si>
  <si>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</si>
  <si>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</si>
  <si>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</si>
  <si>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</si>
  <si>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</si>
  <si>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</si>
  <si>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</si>
  <si>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</si>
  <si>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</si>
  <si>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</si>
  <si>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</si>
  <si>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</si>
  <si>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</si>
  <si>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</si>
  <si>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</si>
  <si>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</si>
  <si>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</si>
  <si>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</si>
  <si>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</si>
  <si>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</si>
  <si>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</si>
  <si>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</si>
  <si>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</si>
  <si>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</si>
  <si>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</si>
  <si>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</si>
  <si>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</si>
  <si>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</si>
  <si>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</si>
  <si>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</si>
  <si>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</si>
  <si>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</si>
  <si>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</si>
  <si>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</si>
  <si>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</si>
  <si>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</si>
  <si>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</si>
  <si>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</si>
  <si>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</si>
  <si>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</si>
  <si>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</si>
  <si>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</si>
  <si>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</si>
  <si>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</si>
  <si>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</si>
  <si>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</si>
  <si>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</si>
  <si>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</si>
  <si>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</si>
  <si>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</si>
  <si>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</si>
  <si>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</si>
  <si>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</si>
  <si>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</si>
  <si>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</si>
  <si>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</si>
  <si>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</si>
  <si>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</si>
  <si>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</si>
  <si>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</si>
  <si>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</si>
  <si>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</si>
  <si>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</si>
  <si>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</si>
  <si>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</si>
  <si>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</si>
  <si>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</si>
  <si>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</si>
  <si>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</si>
  <si>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</si>
  <si>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</si>
  <si>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</si>
  <si>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</si>
  <si>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</si>
  <si>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</si>
  <si>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</si>
  <si>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</si>
  <si>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</si>
  <si>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</si>
  <si>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</si>
  <si>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</si>
  <si>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</si>
  <si>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</si>
  <si>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</si>
  <si>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</si>
  <si>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</si>
  <si>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</si>
  <si>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</si>
  <si>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</si>
  <si>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</si>
  <si>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</si>
  <si>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</si>
  <si>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</si>
  <si>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</si>
  <si>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</si>
  <si>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</si>
  <si>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</si>
  <si>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</si>
  <si>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</si>
  <si>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</si>
  <si>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</si>
  <si>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</si>
  <si>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</si>
  <si>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</si>
  <si>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</si>
  <si>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</si>
  <si>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</si>
  <si>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</si>
  <si>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</si>
  <si>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</si>
  <si>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</si>
  <si>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</si>
  <si>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</si>
  <si>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</si>
  <si>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</si>
  <si>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</si>
  <si>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</si>
  <si>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</si>
  <si>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</si>
  <si>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</si>
  <si>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</si>
  <si>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</si>
  <si>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</si>
  <si>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</si>
  <si>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</si>
  <si>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</si>
  <si>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</si>
  <si>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</si>
  <si>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</si>
  <si>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</si>
  <si>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</si>
  <si>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</si>
  <si>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</si>
  <si>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</si>
  <si>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</si>
  <si>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</si>
  <si>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</si>
  <si>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</si>
  <si>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</si>
  <si>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</si>
  <si>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</si>
  <si>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</si>
  <si>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</si>
  <si>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</si>
  <si>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</si>
  <si>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</si>
  <si>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</si>
  <si>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</si>
  <si>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</si>
  <si>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</si>
  <si>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</si>
  <si>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</si>
  <si>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</si>
  <si>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</si>
  <si>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</si>
  <si>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</si>
  <si>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</si>
  <si>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</si>
  <si>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</si>
  <si>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</si>
  <si>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</si>
  <si>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</si>
  <si>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</si>
  <si>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</si>
  <si>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</si>
  <si>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</si>
  <si>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</si>
  <si>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</si>
  <si>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</si>
  <si>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</si>
  <si>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</si>
  <si>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</si>
  <si>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</si>
  <si>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</si>
  <si>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</si>
  <si>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</si>
  <si>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</si>
  <si>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</si>
  <si>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</si>
  <si>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</si>
  <si>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</si>
  <si>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</si>
  <si>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</si>
  <si>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</si>
  <si>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</si>
  <si>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</si>
  <si>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</si>
  <si>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</si>
  <si>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</si>
  <si>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</si>
  <si>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</si>
  <si>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</si>
  <si>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</si>
  <si>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</si>
  <si>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</si>
  <si>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</si>
  <si>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</si>
  <si>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</si>
  <si>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</si>
  <si>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</si>
  <si>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</si>
  <si>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</si>
  <si>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</si>
  <si>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</si>
  <si>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</si>
  <si>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</si>
  <si>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</si>
  <si>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</si>
  <si>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</si>
  <si>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</si>
  <si>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</si>
  <si>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</si>
  <si>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</si>
  <si>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</si>
  <si>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</si>
  <si>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</si>
  <si>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</si>
  <si>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</si>
  <si>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</si>
  <si>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</si>
  <si>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</si>
  <si>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</si>
  <si>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</si>
  <si>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</si>
  <si>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</si>
  <si>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</si>
  <si>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</si>
  <si>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</si>
  <si>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</si>
  <si>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</si>
  <si>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</si>
  <si>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</si>
  <si>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</si>
  <si>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</si>
  <si>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</si>
  <si>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</si>
  <si>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</si>
  <si>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</si>
  <si>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</si>
  <si>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</si>
  <si>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</si>
  <si>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</si>
  <si>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</si>
  <si>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</si>
  <si>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</si>
  <si>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</si>
  <si>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</si>
  <si>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</si>
  <si>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</si>
  <si>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</si>
  <si>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</si>
  <si>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</si>
  <si>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</si>
  <si>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</si>
  <si>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</si>
  <si>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</si>
  <si>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</si>
  <si>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</si>
  <si>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</si>
  <si>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</si>
  <si>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</si>
  <si>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</si>
  <si>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</si>
  <si>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</si>
  <si>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</si>
  <si>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</si>
  <si>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</si>
  <si>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</si>
  <si>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</si>
  <si>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</si>
  <si>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</si>
  <si>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</si>
  <si>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</si>
  <si>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</si>
  <si>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</si>
  <si>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</si>
  <si>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</si>
  <si>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</si>
  <si>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</si>
  <si>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</si>
  <si>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</si>
  <si>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</si>
  <si>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</si>
  <si>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</si>
  <si>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</si>
  <si>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</si>
  <si>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</si>
  <si>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</si>
  <si>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</si>
  <si>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</si>
  <si>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</si>
  <si>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</si>
  <si>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</si>
  <si>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</si>
  <si>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</si>
  <si>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</si>
  <si>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</si>
  <si>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</si>
  <si>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</si>
  <si>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</si>
  <si>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</si>
  <si>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</si>
  <si>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</si>
  <si>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</si>
  <si>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</si>
  <si>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</si>
  <si>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</si>
  <si>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</si>
  <si>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</si>
  <si>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</si>
  <si>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</si>
  <si>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</si>
  <si>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</si>
  <si>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</si>
  <si>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</si>
  <si>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</si>
  <si>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</si>
  <si>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</si>
  <si>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</si>
  <si>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</si>
  <si>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</si>
  <si>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</si>
  <si>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</si>
  <si>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</si>
  <si>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</si>
  <si>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</si>
  <si>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</si>
  <si>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</si>
  <si>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</si>
  <si>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</si>
  <si>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</si>
  <si>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</si>
  <si>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</si>
  <si>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</si>
  <si>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</si>
  <si>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</si>
  <si>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</si>
  <si>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</si>
  <si>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</si>
  <si>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</si>
  <si>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</si>
  <si>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</si>
  <si>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</si>
  <si>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</si>
  <si>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</si>
  <si>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</si>
  <si>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</si>
  <si>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</si>
  <si>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</si>
  <si>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</si>
  <si>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</si>
  <si>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</si>
  <si>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</si>
  <si>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</si>
  <si>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</si>
  <si>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</si>
  <si>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</si>
  <si>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</si>
  <si>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</si>
  <si>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</si>
  <si>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</si>
  <si>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</si>
  <si>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</si>
  <si>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</si>
  <si>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</si>
  <si>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</si>
  <si>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</si>
  <si>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</si>
  <si>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</si>
  <si>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</si>
  <si>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</si>
  <si>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</si>
  <si>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</si>
  <si>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</si>
  <si>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</si>
  <si>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</si>
  <si>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</si>
  <si>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</si>
  <si>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</si>
  <si>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</si>
  <si>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</si>
  <si>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</si>
  <si>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</si>
  <si>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</si>
  <si>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</si>
  <si>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</si>
  <si>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</si>
  <si>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</si>
  <si>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</si>
  <si>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</si>
  <si>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</si>
  <si>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</si>
  <si>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</si>
  <si>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</si>
  <si>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</si>
  <si>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</si>
  <si>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</si>
  <si>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</si>
  <si>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</si>
  <si>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</si>
  <si>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</si>
  <si>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</si>
  <si>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</si>
  <si>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</si>
  <si>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</si>
  <si>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</si>
  <si>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</si>
  <si>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</si>
  <si>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</si>
  <si>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</si>
  <si>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</si>
  <si>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</si>
  <si>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</si>
  <si>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</si>
  <si>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</si>
  <si>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</si>
  <si>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</si>
  <si>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</si>
  <si>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</si>
  <si>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</si>
  <si>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</si>
  <si>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</si>
  <si>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</si>
  <si>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</si>
  <si>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</si>
  <si>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</si>
  <si>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</si>
  <si>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</si>
  <si>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</si>
  <si>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</si>
  <si>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</si>
  <si>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</si>
  <si>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</si>
  <si>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</si>
  <si>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</si>
  <si>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</si>
  <si>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</si>
  <si>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</si>
  <si>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</si>
  <si>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</si>
  <si>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</si>
  <si>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</si>
  <si>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</si>
  <si>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</si>
  <si>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</si>
  <si>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</si>
  <si>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</si>
  <si>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</si>
  <si>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</si>
  <si>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</si>
  <si>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</si>
  <si>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</si>
  <si>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</si>
  <si>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</si>
  <si>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</si>
  <si>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</si>
  <si>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</si>
  <si>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</si>
  <si>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</si>
  <si>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</si>
  <si>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</si>
  <si>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</si>
  <si>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</si>
  <si>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</si>
  <si>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</si>
  <si>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</si>
  <si>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</si>
  <si>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</si>
  <si>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</si>
  <si>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</si>
  <si>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</si>
  <si>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</si>
  <si>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</si>
  <si>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</si>
  <si>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</si>
  <si>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</si>
  <si>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</si>
  <si>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</si>
  <si>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</si>
  <si>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</si>
  <si>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</si>
  <si>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</si>
  <si>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</si>
  <si>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</si>
  <si>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</si>
  <si>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</si>
  <si>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</si>
  <si>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</si>
  <si>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</si>
  <si>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</si>
  <si>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</si>
  <si>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</si>
  <si>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</si>
  <si>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</si>
  <si>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</si>
  <si>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</si>
  <si>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</si>
  <si>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</si>
  <si>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</si>
  <si>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</si>
  <si>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</si>
  <si>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</si>
  <si>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</si>
  <si>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</si>
  <si>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</si>
  <si>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</si>
  <si>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</si>
  <si>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</si>
  <si>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</si>
  <si>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</si>
  <si>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</si>
  <si>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</si>
  <si>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</si>
  <si>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</si>
  <si>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</si>
  <si>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</si>
  <si>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</si>
  <si>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</si>
  <si>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</si>
  <si>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</si>
  <si>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</si>
  <si>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</si>
  <si>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</si>
  <si>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</si>
  <si>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</si>
  <si>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</si>
  <si>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</si>
  <si>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</si>
  <si>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</si>
  <si>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</si>
  <si>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</si>
  <si>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</si>
  <si>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</si>
  <si>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</si>
  <si>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</si>
  <si>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</si>
  <si>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</si>
  <si>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</si>
  <si>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</si>
  <si>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</si>
  <si>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</si>
  <si>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</si>
  <si>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</si>
  <si>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</si>
  <si>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</si>
  <si>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</si>
  <si>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</si>
  <si>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</si>
  <si>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</si>
  <si>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</si>
  <si>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</si>
  <si>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</si>
  <si>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</si>
  <si>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</si>
  <si>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</si>
  <si>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</si>
  <si>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</si>
  <si>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</si>
  <si>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</si>
  <si>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</si>
  <si>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</si>
  <si>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</si>
  <si>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</si>
  <si>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</si>
  <si>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</si>
  <si>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</si>
  <si>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</si>
  <si>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</si>
  <si>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</si>
  <si>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</si>
  <si>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</si>
  <si>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</si>
  <si>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</si>
  <si>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</si>
  <si>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</si>
  <si>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</si>
  <si>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</si>
  <si>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</si>
  <si>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</si>
  <si>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</si>
  <si>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</si>
  <si>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</si>
  <si>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</si>
  <si>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</si>
  <si>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</si>
  <si>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</si>
  <si>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</si>
  <si>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</si>
  <si>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</si>
  <si>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</si>
  <si>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</si>
  <si>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</si>
  <si>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</si>
  <si>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</si>
  <si>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</si>
  <si>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</si>
  <si>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</si>
  <si>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</si>
  <si>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</si>
  <si>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</si>
  <si>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</si>
  <si>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</si>
  <si>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</si>
  <si>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</si>
  <si>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</si>
  <si>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</si>
  <si>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</si>
  <si>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</si>
  <si>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</si>
  <si>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</si>
  <si>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</si>
  <si>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</si>
  <si>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</si>
  <si>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</si>
  <si>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</si>
  <si>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</si>
  <si>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</si>
  <si>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</si>
  <si>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</si>
  <si>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</si>
  <si>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</si>
  <si>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</si>
  <si>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</si>
  <si>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</si>
  <si>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</si>
  <si>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</si>
  <si>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</si>
  <si>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</si>
  <si>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</si>
  <si>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</si>
  <si>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</si>
  <si>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</si>
  <si>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</si>
  <si>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</si>
  <si>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</si>
  <si>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</si>
  <si>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</si>
  <si>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</si>
  <si>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</si>
  <si>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</si>
  <si>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</si>
  <si>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</si>
  <si>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</si>
  <si>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</si>
  <si>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</si>
  <si>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</si>
  <si>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</si>
  <si>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</si>
  <si>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</si>
  <si>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</si>
  <si>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</si>
  <si>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</si>
  <si>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</si>
  <si>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</si>
  <si>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</si>
  <si>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</si>
  <si>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</si>
  <si>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</si>
  <si>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</si>
  <si>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</si>
  <si>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</si>
  <si>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</si>
  <si>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</si>
  <si>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</si>
  <si>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</si>
  <si>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</si>
  <si>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</si>
  <si>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</si>
  <si>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</si>
  <si>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</si>
  <si>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</si>
  <si>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</si>
  <si>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</si>
  <si>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</si>
  <si>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</si>
  <si>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</si>
  <si>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</si>
  <si>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</si>
  <si>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</si>
  <si>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</si>
  <si>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</si>
  <si>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</si>
  <si>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</si>
  <si>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</si>
  <si>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</si>
  <si>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</si>
  <si>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</si>
  <si>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</si>
  <si>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</si>
  <si>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</si>
  <si>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</si>
  <si>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</si>
  <si>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</si>
  <si>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</si>
  <si>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</si>
  <si>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</si>
  <si>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</si>
  <si>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</si>
  <si>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</si>
  <si>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</si>
  <si>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</si>
  <si>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</si>
  <si>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</si>
  <si>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</si>
  <si>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</si>
  <si>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</si>
  <si>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</si>
  <si>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</si>
  <si>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</si>
  <si>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</si>
  <si>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</si>
  <si>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</si>
  <si>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</si>
  <si>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</si>
  <si>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</si>
  <si>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</si>
  <si>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</si>
  <si>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</si>
  <si>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</si>
  <si>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</si>
  <si>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</si>
  <si>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</si>
  <si>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</si>
  <si>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</si>
  <si>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</si>
  <si>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</si>
  <si>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</si>
  <si>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</si>
  <si>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</si>
  <si>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</si>
  <si>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</si>
  <si>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</si>
  <si>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</si>
  <si>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</si>
  <si>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</si>
  <si>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</si>
  <si>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</si>
  <si>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</si>
  <si>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</si>
  <si>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</si>
  <si>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</si>
  <si>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</si>
  <si>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</si>
  <si>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</si>
  <si>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</si>
  <si>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</si>
  <si>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</si>
  <si>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</si>
  <si>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</si>
  <si>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</si>
  <si>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</si>
  <si>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</si>
  <si>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</si>
  <si>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</si>
  <si>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</si>
  <si>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</si>
  <si>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</si>
  <si>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</si>
  <si>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</si>
  <si>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</si>
  <si>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</si>
  <si>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</si>
  <si>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</si>
  <si>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</si>
  <si>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</si>
  <si>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</si>
  <si>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</si>
  <si>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</si>
  <si>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</si>
  <si>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</si>
  <si>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</si>
  <si>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</si>
  <si>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</si>
  <si>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</si>
  <si>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</si>
  <si>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</si>
  <si>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</si>
  <si>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</si>
  <si>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</si>
  <si>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</si>
  <si>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</si>
  <si>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</si>
  <si>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</si>
  <si>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</si>
  <si>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</si>
  <si>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</si>
  <si>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</si>
  <si>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</si>
  <si>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</si>
  <si>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</si>
  <si>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</si>
  <si>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</si>
  <si>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</si>
  <si>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</si>
  <si>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</si>
  <si>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</si>
  <si>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</si>
  <si>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</si>
  <si>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</si>
  <si>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</si>
  <si>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</si>
  <si>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</si>
  <si>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</si>
  <si>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</si>
  <si>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</si>
  <si>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</si>
  <si>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</si>
  <si>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</si>
  <si>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</si>
  <si>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</si>
  <si>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</si>
  <si>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</si>
  <si>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</si>
  <si>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</si>
  <si>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</si>
  <si>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</si>
  <si>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</si>
  <si>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</si>
  <si>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</si>
  <si>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</si>
  <si>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</si>
  <si>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</si>
  <si>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</si>
  <si>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</si>
  <si>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</si>
  <si>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</si>
  <si>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</si>
  <si>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</si>
  <si>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</si>
  <si>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</si>
  <si>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</si>
  <si>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</si>
  <si>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</si>
  <si>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</si>
  <si>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</si>
  <si>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</si>
  <si>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</si>
  <si>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</si>
  <si>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</si>
  <si>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</si>
  <si>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</si>
  <si>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</si>
  <si>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</si>
  <si>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</si>
  <si>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</si>
  <si>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</si>
  <si>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</si>
  <si>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</si>
  <si>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</si>
  <si>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</si>
  <si>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</si>
  <si>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</si>
  <si>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</si>
  <si>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</si>
  <si>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</si>
  <si>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</si>
  <si>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</si>
  <si>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</si>
  <si>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</si>
  <si>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</si>
  <si>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</si>
  <si>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</si>
  <si>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</si>
  <si>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</si>
  <si>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</si>
  <si>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</si>
  <si>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</si>
  <si>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</si>
  <si>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</si>
  <si>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</si>
  <si>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</si>
  <si>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</si>
  <si>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</si>
  <si>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</si>
  <si>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</si>
  <si>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</si>
  <si>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</si>
  <si>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</si>
  <si>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</si>
  <si>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</si>
  <si>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</si>
  <si>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</si>
  <si>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</si>
  <si>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</si>
  <si>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</si>
  <si>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</si>
  <si>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</si>
  <si>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</si>
  <si>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</si>
  <si>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</si>
  <si>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</si>
  <si>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</si>
  <si>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</si>
  <si>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</si>
  <si>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</si>
  <si>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</si>
  <si>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</si>
  <si>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</si>
  <si>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</si>
  <si>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</si>
  <si>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</si>
  <si>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</si>
  <si>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</si>
  <si>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</si>
  <si>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</si>
  <si>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</si>
  <si>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</si>
  <si>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</si>
  <si>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</si>
  <si>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</si>
  <si>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</si>
  <si>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</si>
  <si>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</si>
  <si>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</si>
  <si>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</si>
  <si>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</si>
  <si>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</si>
  <si>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</si>
  <si>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</si>
  <si>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</si>
  <si>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</si>
  <si>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</si>
  <si>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</si>
  <si>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</si>
  <si>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</si>
  <si>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</si>
  <si>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</si>
  <si>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</si>
  <si>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</si>
  <si>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</si>
  <si>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</si>
  <si>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</si>
  <si>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</si>
  <si>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</si>
  <si>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</si>
  <si>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</si>
  <si>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</si>
  <si>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</si>
  <si>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</si>
  <si>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</si>
  <si>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</si>
  <si>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</si>
  <si>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</si>
  <si>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</si>
  <si>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</si>
  <si>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</si>
  <si>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</si>
  <si>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</si>
  <si>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</si>
  <si>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</si>
  <si>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</si>
  <si>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</si>
  <si>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</si>
  <si>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</si>
  <si>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</si>
  <si>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</si>
  <si>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</si>
  <si>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</si>
  <si>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</si>
  <si>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</si>
  <si>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</si>
  <si>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</si>
  <si>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</si>
  <si>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</si>
  <si>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</si>
  <si>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</si>
  <si>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</si>
  <si>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</si>
  <si>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</si>
  <si>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</si>
  <si>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</si>
  <si>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</si>
  <si>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</si>
  <si>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</si>
  <si>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</si>
  <si>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</si>
  <si>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</si>
  <si>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</si>
  <si>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</si>
  <si>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</si>
  <si>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</si>
  <si>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</si>
  <si>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</si>
  <si>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</si>
  <si>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</si>
  <si>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</si>
  <si>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</si>
  <si>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</si>
  <si>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</si>
  <si>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</si>
  <si>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</si>
  <si>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</si>
  <si>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</si>
  <si>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</si>
  <si>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</si>
  <si>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</si>
  <si>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</si>
  <si>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</si>
  <si>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</si>
  <si>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</si>
  <si>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</si>
  <si>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</si>
  <si>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</si>
  <si>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</si>
  <si>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</si>
  <si>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</si>
  <si>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</si>
  <si>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</si>
  <si>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</si>
  <si>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</si>
  <si>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</si>
  <si>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</si>
  <si>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</si>
  <si>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</si>
  <si>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</si>
  <si>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</si>
  <si>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</si>
  <si>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</si>
  <si>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</si>
  <si>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</si>
  <si>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</si>
  <si>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</si>
  <si>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</si>
  <si>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</si>
  <si>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</si>
  <si>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</si>
  <si>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</si>
  <si>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</si>
  <si>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</si>
  <si>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</si>
  <si>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</si>
  <si>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</si>
  <si>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</si>
  <si>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</si>
  <si>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</si>
  <si>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</si>
  <si>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</si>
  <si>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</si>
  <si>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</si>
  <si>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</si>
  <si>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</si>
  <si>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</si>
  <si>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</si>
  <si>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</si>
  <si>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</si>
  <si>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</si>
  <si>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</si>
  <si>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</si>
  <si>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</si>
  <si>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</si>
  <si>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</si>
  <si>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</si>
  <si>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</si>
  <si>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</si>
  <si>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</si>
  <si>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</si>
  <si>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</si>
  <si>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</si>
  <si>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</si>
  <si>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</si>
  <si>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</si>
  <si>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</si>
  <si>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</si>
  <si>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</si>
  <si>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</si>
  <si>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</si>
  <si>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</si>
  <si>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</si>
  <si>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</si>
  <si>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</si>
  <si>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</si>
  <si>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</si>
  <si>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</si>
  <si>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</si>
  <si>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</si>
  <si>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</si>
  <si>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</si>
  <si>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</si>
  <si>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</si>
  <si>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</si>
  <si>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</si>
  <si>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</si>
  <si>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</si>
  <si>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</si>
  <si>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</si>
  <si>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</si>
  <si>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</si>
  <si>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</si>
  <si>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</si>
  <si>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</si>
  <si>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</si>
  <si>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</si>
  <si>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</si>
  <si>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</si>
  <si>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</si>
  <si>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</si>
  <si>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</si>
  <si>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</si>
  <si>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</si>
  <si>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</si>
  <si>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</si>
  <si>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</si>
  <si>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</si>
  <si>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</si>
  <si>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</si>
  <si>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</si>
  <si>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</si>
  <si>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</si>
  <si>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</si>
  <si>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</si>
  <si>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</si>
  <si>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</si>
  <si>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</si>
  <si>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</si>
  <si>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</si>
  <si>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</si>
  <si>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</si>
  <si>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</si>
  <si>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</si>
  <si>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</si>
  <si>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</si>
  <si>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</si>
  <si>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</si>
  <si>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</si>
  <si>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</si>
  <si>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</si>
  <si>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</si>
  <si>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</si>
  <si>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</si>
  <si>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</si>
  <si>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</si>
  <si>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</si>
  <si>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</si>
  <si>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</si>
  <si>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</si>
  <si>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</si>
  <si>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</si>
  <si>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</si>
  <si>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</si>
  <si>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</si>
  <si>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</si>
  <si>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</si>
  <si>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</si>
  <si>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</si>
  <si>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</si>
  <si>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</si>
  <si>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</si>
  <si>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</si>
  <si>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</si>
  <si>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</si>
  <si>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</si>
  <si>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</si>
  <si>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</si>
  <si>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</si>
  <si>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</si>
  <si>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</si>
  <si>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</si>
  <si>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</si>
  <si>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</si>
  <si>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</si>
  <si>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</si>
  <si>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</si>
  <si>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</si>
  <si>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</si>
  <si>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</si>
  <si>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</si>
  <si>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</si>
  <si>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</si>
  <si>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</si>
  <si>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</si>
  <si>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</si>
  <si>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</si>
  <si>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</si>
  <si>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</si>
  <si>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</si>
  <si>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</si>
  <si>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</si>
  <si>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</si>
  <si>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</si>
  <si>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</si>
  <si>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</si>
  <si>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</si>
  <si>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</si>
  <si>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</si>
  <si>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</si>
  <si>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</si>
  <si>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</si>
  <si>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</si>
  <si>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</si>
  <si>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</si>
  <si>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</si>
  <si>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</si>
  <si>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</si>
  <si>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</si>
  <si>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</si>
  <si>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</si>
  <si>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</si>
  <si>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</si>
  <si>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</si>
  <si>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</si>
  <si>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</si>
  <si>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</si>
  <si>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</si>
  <si>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</si>
  <si>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</si>
  <si>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</si>
  <si>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</si>
  <si>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</si>
  <si>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</si>
  <si>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</si>
  <si>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</si>
  <si>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</si>
  <si>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</si>
  <si>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</si>
  <si>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</si>
  <si>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</si>
  <si>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</si>
  <si>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</si>
  <si>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</si>
  <si>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</si>
  <si>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</si>
  <si>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</si>
  <si>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</si>
  <si>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</si>
  <si>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</si>
  <si>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</si>
  <si>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</si>
  <si>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</si>
  <si>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</si>
  <si>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</si>
  <si>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</si>
  <si>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</si>
  <si>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</si>
  <si>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</si>
  <si>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</si>
  <si>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</si>
  <si>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</si>
  <si>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</si>
  <si>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</si>
  <si>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</si>
  <si>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</si>
  <si>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</si>
  <si>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</si>
  <si>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</si>
  <si>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</si>
  <si>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</si>
  <si>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</si>
  <si>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</si>
  <si>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</si>
  <si>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</si>
  <si>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</si>
  <si>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</si>
  <si>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</si>
  <si>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</si>
  <si>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</si>
  <si>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</si>
  <si>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</si>
  <si>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</si>
  <si>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</si>
  <si>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</si>
  <si>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</si>
  <si>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</si>
  <si>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</si>
  <si>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</si>
  <si>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</si>
  <si>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</si>
  <si>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</si>
  <si>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</si>
  <si>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</si>
  <si>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</si>
  <si>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</si>
  <si>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</si>
  <si>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</si>
  <si>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</si>
  <si>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</si>
  <si>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</si>
  <si>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</si>
  <si>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</si>
  <si>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</si>
  <si>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</si>
  <si>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</si>
  <si>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</si>
  <si>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</si>
  <si>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</si>
  <si>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</si>
  <si>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</si>
  <si>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</si>
  <si>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</si>
  <si>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</si>
  <si>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</si>
  <si>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</si>
  <si>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</si>
  <si>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</si>
  <si>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</si>
  <si>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</si>
  <si>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</si>
  <si>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</si>
  <si>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</si>
  <si>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</si>
  <si>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</si>
  <si>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</si>
  <si>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</si>
  <si>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</si>
  <si>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</si>
  <si>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</si>
  <si>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</si>
  <si>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</si>
  <si>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</si>
  <si>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</si>
  <si>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</si>
  <si>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</si>
  <si>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</si>
  <si>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</si>
  <si>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</si>
  <si>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</si>
  <si>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</si>
  <si>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</si>
  <si>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</si>
  <si>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</si>
  <si>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</si>
  <si>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</si>
  <si>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</si>
  <si>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</si>
  <si>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</si>
  <si>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</si>
  <si>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</si>
  <si>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</si>
  <si>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</si>
  <si>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</si>
  <si>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</si>
  <si>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</si>
  <si>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</si>
  <si>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</si>
  <si>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</si>
  <si>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</si>
  <si>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</si>
  <si>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</si>
  <si>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</si>
  <si>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</si>
  <si>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</si>
  <si>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</si>
  <si>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</si>
  <si>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</si>
  <si>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</si>
  <si>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</si>
  <si>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</si>
  <si>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</si>
  <si>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</si>
  <si>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</si>
  <si>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</si>
  <si>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</si>
  <si>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</si>
  <si>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</si>
  <si>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</si>
  <si>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</si>
  <si>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</si>
  <si>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</si>
  <si>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</si>
  <si>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</si>
  <si>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</si>
  <si>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</si>
  <si>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</si>
  <si>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</si>
  <si>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</si>
  <si>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</si>
  <si>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</si>
  <si>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</si>
  <si>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</si>
  <si>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</si>
  <si>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</si>
  <si>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</si>
  <si>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</si>
  <si>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</si>
  <si>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</si>
  <si>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</si>
  <si>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</si>
  <si>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</si>
  <si>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</si>
  <si>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</si>
  <si>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</si>
  <si>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</si>
  <si>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</si>
  <si>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</si>
  <si>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</si>
  <si>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</si>
  <si>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</si>
  <si>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</si>
  <si>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</si>
  <si>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</si>
  <si>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</si>
  <si>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</si>
  <si>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</si>
  <si>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</si>
  <si>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</si>
  <si>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</si>
  <si>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</si>
  <si>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</si>
  <si>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</si>
  <si>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</si>
  <si>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</si>
  <si>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</si>
  <si>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</si>
  <si>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</si>
  <si>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</si>
  <si>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</si>
  <si>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</si>
  <si>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</si>
  <si>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</si>
  <si>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</si>
  <si>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</si>
  <si>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</si>
  <si>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</si>
  <si>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</si>
  <si>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</si>
  <si>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</si>
  <si>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</si>
  <si>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</si>
  <si>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</si>
  <si>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</si>
  <si>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</si>
  <si>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</si>
  <si>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</si>
  <si>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</si>
  <si>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</si>
  <si>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</si>
  <si>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</si>
  <si>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</si>
  <si>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</si>
  <si>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</si>
  <si>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</si>
  <si>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</si>
  <si>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</si>
  <si>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</si>
  <si>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</si>
  <si>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</si>
  <si>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</si>
  <si>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</si>
  <si>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</si>
  <si>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</si>
  <si>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</si>
  <si>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</si>
  <si>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</si>
  <si>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</si>
  <si>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</si>
  <si>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</si>
  <si>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</si>
  <si>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</si>
  <si>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</si>
  <si>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</si>
  <si>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</si>
  <si>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</si>
  <si>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</si>
  <si>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</si>
  <si>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</si>
  <si>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</si>
  <si>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</si>
  <si>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</si>
  <si>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</si>
  <si>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</si>
  <si>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</si>
  <si>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</si>
  <si>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</si>
  <si>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</si>
  <si>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</si>
  <si>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</si>
  <si>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</si>
  <si>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</si>
  <si>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</si>
  <si>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</si>
  <si>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</si>
  <si>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</si>
  <si>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</si>
  <si>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</si>
  <si>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</si>
  <si>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</si>
  <si>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</si>
  <si>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</si>
  <si>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</si>
  <si>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</si>
  <si>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</si>
  <si>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</si>
  <si>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</si>
  <si>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</si>
  <si>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</si>
  <si>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</si>
  <si>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</si>
  <si>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</si>
  <si>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</si>
  <si>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</si>
  <si>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</si>
  <si>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</si>
  <si>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</si>
  <si>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</si>
  <si>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</si>
  <si>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</si>
  <si>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</si>
  <si>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</si>
  <si>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</si>
  <si>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</si>
  <si>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</si>
  <si>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</si>
  <si>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</si>
  <si>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</si>
  <si>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</si>
  <si>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</si>
  <si>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</si>
  <si>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</si>
  <si>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</si>
  <si>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</si>
  <si>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</si>
  <si>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</si>
  <si>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</si>
  <si>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</si>
  <si>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</si>
  <si>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</si>
  <si>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</si>
  <si>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</si>
  <si>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</si>
  <si>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</si>
  <si>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</si>
  <si>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</si>
  <si>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</si>
  <si>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</si>
  <si>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</si>
  <si>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</si>
  <si>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</si>
  <si>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</si>
  <si>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</si>
  <si>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</si>
  <si>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</si>
  <si>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</si>
  <si>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</si>
  <si>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</si>
  <si>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</si>
  <si>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</si>
  <si>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</si>
  <si>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</si>
  <si>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</si>
  <si>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</si>
  <si>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</si>
  <si>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</si>
  <si>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</si>
  <si>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</si>
  <si>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</si>
  <si>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</si>
  <si>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</si>
  <si>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</si>
  <si>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</si>
  <si>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</si>
  <si>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</si>
  <si>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</si>
  <si>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</si>
  <si>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</si>
  <si>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</si>
  <si>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</si>
  <si>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</si>
  <si>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</si>
  <si>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</si>
  <si>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</si>
  <si>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</si>
  <si>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</si>
  <si>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</si>
  <si>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</si>
  <si>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</si>
  <si>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</si>
  <si>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</si>
  <si>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</si>
  <si>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</si>
  <si>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</si>
  <si>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</si>
  <si>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</si>
  <si>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</si>
  <si>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</si>
  <si>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</si>
  <si>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</si>
  <si>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</si>
  <si>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</si>
  <si>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</si>
  <si>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</si>
  <si>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</si>
  <si>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</si>
  <si>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</si>
  <si>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</si>
  <si>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</si>
  <si>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</si>
  <si>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</si>
  <si>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</si>
  <si>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</si>
  <si>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</si>
  <si>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</si>
  <si>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</si>
  <si>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</si>
  <si>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</si>
  <si>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</si>
  <si>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</si>
  <si>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</si>
  <si>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</si>
  <si>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</si>
  <si>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</si>
  <si>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</si>
  <si>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</si>
  <si>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</si>
  <si>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</si>
  <si>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</si>
  <si>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</si>
  <si>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</si>
  <si>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</si>
  <si>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</si>
  <si>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</si>
  <si>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</si>
  <si>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</si>
  <si>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</si>
  <si>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</si>
  <si>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</si>
  <si>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</si>
  <si>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</si>
  <si>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</si>
  <si>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</si>
  <si>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</si>
  <si>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</si>
  <si>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</si>
  <si>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</si>
  <si>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</si>
  <si>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</si>
  <si>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</si>
  <si>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</si>
  <si>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</si>
  <si>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</si>
  <si>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</si>
  <si>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</si>
  <si>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</si>
  <si>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</si>
  <si>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</si>
  <si>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</si>
  <si>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</si>
  <si>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</si>
  <si>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</si>
  <si>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</si>
  <si>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</si>
  <si>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</si>
  <si>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</si>
  <si>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</si>
  <si>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</si>
  <si>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</si>
  <si>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</si>
  <si>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</si>
  <si>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</si>
  <si>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</si>
  <si>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</si>
  <si>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</si>
  <si>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</si>
  <si>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</si>
  <si>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</si>
  <si>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</si>
  <si>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</si>
  <si>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</si>
  <si>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</si>
  <si>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</si>
  <si>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</si>
  <si>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</si>
  <si>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</si>
  <si>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</si>
  <si>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</si>
  <si>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</si>
  <si>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</si>
  <si>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</si>
  <si>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</si>
  <si>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</si>
  <si>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</si>
  <si>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</si>
  <si>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</si>
  <si>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</si>
  <si>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</si>
  <si>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</si>
  <si>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</si>
  <si>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</si>
  <si>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</si>
  <si>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</si>
  <si>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</si>
  <si>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</si>
  <si>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</si>
  <si>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</si>
  <si>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</si>
  <si>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</si>
  <si>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</si>
  <si>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</si>
  <si>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</si>
  <si>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</si>
  <si>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</si>
  <si>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</si>
  <si>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</si>
  <si>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</si>
  <si>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</si>
  <si>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</si>
  <si>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</si>
  <si>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</si>
  <si>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</si>
  <si>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</si>
  <si>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</si>
  <si>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</si>
  <si>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</si>
  <si>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</si>
  <si>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</si>
  <si>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</si>
  <si>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</si>
  <si>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</si>
  <si>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</si>
  <si>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</si>
  <si>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</si>
  <si>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</si>
  <si>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</si>
  <si>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</si>
  <si>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</si>
  <si>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</si>
  <si>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</si>
  <si>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</si>
  <si>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</si>
  <si>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</si>
  <si>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</si>
  <si>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</si>
  <si>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</si>
  <si>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</si>
  <si>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</si>
  <si>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</si>
  <si>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</si>
  <si>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</si>
  <si>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</si>
  <si>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</si>
  <si>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</si>
  <si>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</si>
  <si>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</si>
  <si>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</si>
  <si>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</si>
  <si>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</si>
  <si>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</si>
  <si>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</si>
  <si>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</si>
  <si>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</si>
  <si>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</si>
  <si>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</si>
  <si>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</si>
  <si>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</si>
  <si>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</si>
  <si>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</si>
  <si>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</si>
  <si>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</si>
  <si>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</si>
  <si>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</si>
  <si>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</si>
  <si>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</si>
  <si>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</si>
  <si>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</si>
  <si>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</si>
  <si>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</si>
  <si>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</si>
  <si>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</si>
  <si>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</si>
  <si>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</si>
  <si>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</si>
  <si>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</si>
  <si>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</si>
  <si>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</si>
  <si>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</si>
  <si>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</si>
  <si>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</si>
  <si>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</si>
  <si>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</si>
  <si>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</si>
  <si>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</si>
  <si>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</si>
  <si>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</si>
  <si>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</si>
  <si>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</si>
  <si>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</si>
  <si>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</si>
  <si>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</si>
  <si>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</si>
  <si>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</si>
  <si>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</si>
  <si>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</si>
  <si>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</si>
  <si>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</si>
  <si>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</si>
  <si>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</si>
  <si>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</si>
  <si>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</si>
  <si>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</si>
  <si>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</si>
  <si>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</si>
  <si>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</si>
  <si>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</si>
  <si>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</si>
  <si>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</si>
  <si>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</si>
  <si>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</si>
  <si>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</si>
  <si>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</si>
  <si>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</si>
  <si>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</si>
  <si>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</si>
  <si>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</si>
  <si>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</si>
  <si>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</si>
  <si>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</si>
  <si>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</si>
  <si>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</si>
  <si>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</si>
  <si>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</si>
  <si>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</si>
  <si>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</si>
  <si>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</si>
  <si>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</si>
  <si>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</si>
  <si>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</si>
  <si>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</si>
  <si>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</si>
  <si>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</si>
  <si>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</si>
  <si>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</si>
  <si>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</si>
  <si>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</si>
  <si>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</si>
  <si>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</si>
  <si>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</si>
  <si>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</si>
  <si>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</si>
  <si>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</si>
  <si>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</si>
  <si>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</si>
  <si>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</si>
  <si>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</si>
  <si>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</si>
  <si>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</si>
  <si>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</si>
  <si>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</si>
  <si>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</si>
  <si>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</si>
  <si>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</si>
  <si>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</si>
  <si>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</si>
  <si>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</si>
  <si>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</si>
  <si>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</si>
  <si>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</si>
  <si>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</si>
  <si>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</si>
  <si>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</si>
  <si>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</si>
  <si>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</si>
  <si>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</si>
  <si>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</si>
  <si>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</si>
  <si>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</si>
  <si>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</si>
  <si>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</si>
  <si>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</si>
  <si>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</si>
  <si>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</si>
  <si>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</si>
  <si>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</si>
  <si>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</si>
  <si>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</si>
  <si>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</si>
  <si>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</si>
  <si>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</si>
  <si>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</si>
  <si>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</si>
  <si>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</si>
  <si>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</si>
  <si>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</si>
  <si>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</si>
  <si>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</si>
  <si>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</si>
  <si>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</si>
  <si>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</si>
  <si>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</si>
  <si>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</si>
  <si>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</si>
  <si>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</si>
  <si>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</si>
  <si>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</si>
  <si>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</si>
  <si>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</si>
  <si>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</si>
  <si>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</si>
  <si>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</si>
  <si>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</si>
  <si>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</si>
  <si>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</si>
  <si>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</si>
  <si>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</si>
  <si>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</si>
  <si>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</si>
  <si>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</si>
  <si>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</si>
  <si>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</si>
  <si>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</si>
  <si>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</si>
  <si>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</si>
  <si>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</si>
  <si>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</si>
  <si>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</si>
  <si>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</si>
  <si>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</si>
  <si>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</si>
  <si>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</si>
  <si>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</si>
  <si>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</si>
  <si>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</si>
  <si>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</si>
  <si>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</si>
  <si>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</si>
  <si>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</si>
  <si>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</si>
  <si>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</si>
  <si>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</si>
  <si>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</si>
  <si>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</si>
  <si>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</si>
  <si>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</si>
  <si>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</si>
  <si>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</si>
  <si>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</si>
  <si>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</si>
  <si>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</si>
  <si>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</si>
  <si>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</si>
  <si>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</si>
  <si>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</si>
  <si>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</si>
  <si>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</si>
  <si>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</si>
  <si>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</si>
  <si>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</si>
  <si>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</si>
  <si>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</si>
  <si>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</si>
  <si>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</si>
  <si>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</si>
  <si>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</si>
  <si>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</si>
  <si>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</si>
  <si>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</si>
  <si>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</si>
  <si>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</si>
  <si>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</si>
  <si>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</si>
  <si>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</si>
  <si>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</si>
  <si>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</si>
  <si>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</si>
  <si>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</si>
  <si>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</si>
  <si>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</si>
  <si>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</si>
  <si>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</si>
  <si>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</si>
  <si>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</si>
  <si>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</si>
  <si>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</si>
  <si>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</si>
  <si>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</si>
  <si>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</si>
  <si>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</si>
  <si>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</si>
  <si>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</si>
  <si>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</si>
  <si>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</si>
  <si>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</si>
  <si>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</si>
  <si>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</si>
  <si>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</si>
  <si>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</si>
  <si>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</si>
  <si>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</si>
  <si>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</si>
  <si>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</si>
  <si>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</si>
  <si>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</si>
  <si>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</si>
  <si>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</si>
  <si>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</si>
  <si>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</si>
  <si>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</si>
  <si>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</si>
  <si>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</si>
  <si>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</si>
  <si>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</si>
  <si>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</si>
  <si>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</si>
  <si>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</si>
  <si>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</si>
  <si>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</si>
  <si>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</si>
  <si>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</si>
  <si>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</si>
  <si>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</si>
  <si>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</si>
  <si>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</si>
  <si>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</si>
  <si>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</si>
  <si>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</si>
  <si>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</si>
  <si>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</si>
  <si>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</si>
  <si>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</si>
  <si>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</si>
  <si>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</si>
  <si>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</si>
  <si>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</si>
  <si>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</si>
  <si>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</si>
  <si>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</si>
  <si>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</si>
  <si>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</si>
  <si>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</si>
  <si>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</si>
  <si>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</si>
  <si>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</si>
  <si>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</si>
  <si>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</si>
  <si>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</si>
  <si>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</si>
  <si>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</si>
  <si>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</si>
  <si>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</si>
  <si>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</si>
  <si>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</si>
  <si>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</si>
  <si>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</si>
  <si>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</si>
  <si>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</si>
  <si>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</si>
  <si>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</si>
  <si>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</si>
  <si>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</si>
  <si>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</si>
  <si>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</si>
  <si>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</si>
  <si>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</si>
  <si>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</si>
  <si>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</si>
  <si>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</si>
  <si>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</si>
  <si>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</si>
  <si>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</si>
  <si>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</si>
  <si>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</si>
  <si>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</si>
  <si>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</si>
  <si>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</si>
  <si>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</si>
  <si>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</si>
  <si>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</si>
  <si>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</si>
  <si>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</si>
  <si>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</si>
  <si>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</si>
  <si>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</si>
  <si>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</si>
  <si>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</si>
  <si>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</si>
  <si>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</si>
  <si>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</si>
  <si>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</si>
  <si>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</si>
  <si>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</si>
  <si>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</si>
  <si>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</si>
  <si>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</si>
  <si>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</si>
  <si>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</si>
  <si>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</si>
  <si>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</si>
  <si>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</si>
  <si>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</si>
  <si>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</si>
  <si>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</si>
  <si>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</si>
  <si>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</si>
  <si>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</si>
  <si>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</si>
  <si>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</si>
  <si>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</si>
  <si>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</si>
  <si>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</si>
  <si>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</si>
  <si>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</si>
  <si>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</si>
  <si>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</si>
  <si>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</si>
  <si>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</si>
  <si>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</si>
  <si>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</si>
  <si>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</si>
  <si>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</si>
  <si>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</si>
  <si>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</si>
  <si>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</si>
  <si>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</si>
  <si>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</si>
  <si>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</si>
  <si>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</si>
  <si>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</si>
  <si>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</si>
  <si>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</si>
  <si>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</si>
  <si>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</si>
  <si>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</si>
  <si>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</si>
  <si>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</si>
  <si>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</si>
  <si>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</si>
  <si>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</si>
  <si>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</si>
  <si>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</si>
  <si>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</si>
  <si>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</si>
  <si>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</si>
  <si>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</si>
  <si>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</si>
  <si>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</si>
  <si>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</si>
  <si>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</si>
  <si>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</si>
  <si>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</si>
  <si>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</si>
  <si>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</si>
  <si>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</si>
  <si>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</si>
  <si>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</si>
  <si>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</si>
  <si>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</si>
  <si>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</si>
  <si>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</si>
  <si>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</si>
  <si>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</si>
  <si>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</si>
  <si>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</si>
  <si>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</si>
  <si>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</si>
  <si>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</si>
  <si>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</si>
  <si>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</si>
  <si>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</si>
  <si>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</si>
  <si>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</si>
  <si>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</si>
  <si>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</si>
  <si>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</si>
  <si>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</si>
  <si>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</si>
  <si>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</si>
  <si>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</si>
  <si>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</si>
  <si>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</si>
  <si>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</si>
  <si>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</si>
  <si>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</si>
  <si>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</si>
  <si>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</si>
  <si>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</si>
  <si>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</si>
  <si>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</si>
  <si>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</si>
  <si>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</si>
  <si>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</si>
  <si>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</si>
  <si>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</si>
  <si>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</si>
  <si>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</si>
  <si>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</si>
  <si>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</si>
  <si>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</si>
  <si>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</si>
  <si>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</si>
  <si>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</si>
  <si>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</si>
  <si>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</si>
  <si>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</si>
  <si>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</si>
  <si>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</si>
  <si>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</si>
  <si>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</si>
  <si>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</si>
  <si>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</si>
  <si>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</si>
  <si>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</si>
  <si>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</si>
  <si>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</si>
  <si>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</si>
  <si>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</si>
  <si>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</si>
  <si>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</si>
  <si>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</si>
  <si>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</si>
  <si>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</si>
  <si>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</si>
  <si>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</si>
  <si>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</si>
  <si>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</si>
  <si>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</si>
  <si>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</si>
  <si>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</si>
  <si>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</si>
  <si>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</si>
  <si>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</si>
  <si>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</si>
  <si>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</si>
  <si>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</si>
  <si>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</si>
  <si>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</si>
  <si>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</si>
  <si>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</si>
  <si>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</si>
  <si>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</si>
  <si>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</si>
  <si>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</si>
  <si>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</si>
  <si>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</si>
  <si>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</si>
  <si>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</si>
  <si>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</si>
  <si>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</si>
  <si>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</si>
  <si>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</si>
  <si>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</si>
  <si>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</si>
  <si>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</si>
  <si>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</si>
  <si>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</si>
  <si>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</si>
  <si>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</si>
  <si>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</si>
  <si>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</si>
  <si>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</si>
  <si>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</si>
  <si>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</si>
  <si>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</si>
  <si>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</si>
  <si>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</si>
  <si>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</si>
  <si>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</si>
  <si>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</si>
  <si>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</si>
  <si>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</si>
  <si>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</si>
  <si>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</si>
  <si>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</si>
  <si>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</si>
  <si>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</si>
  <si>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</si>
  <si>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</si>
  <si>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</si>
  <si>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</si>
  <si>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</si>
  <si>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</si>
  <si>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</si>
  <si>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</si>
  <si>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</si>
  <si>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</si>
  <si>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</si>
  <si>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</si>
  <si>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</si>
  <si>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</si>
  <si>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</si>
  <si>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</si>
  <si>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</si>
  <si>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</si>
  <si>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</si>
  <si>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</si>
  <si>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</si>
  <si>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</si>
  <si>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</si>
  <si>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</si>
  <si>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</si>
  <si>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</si>
  <si>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</si>
  <si>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</si>
  <si>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</si>
  <si>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</si>
  <si>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</si>
  <si>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</si>
  <si>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</si>
  <si>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</si>
  <si>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</si>
  <si>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</si>
  <si>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</si>
  <si>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</si>
  <si>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</si>
  <si>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</si>
  <si>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</si>
  <si>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</si>
  <si>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</si>
  <si>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</si>
  <si>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</si>
  <si>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</si>
  <si>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</si>
  <si>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</si>
  <si>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</si>
  <si>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</si>
  <si>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</si>
  <si>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</si>
  <si>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</si>
  <si>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</si>
  <si>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</si>
  <si>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</si>
  <si>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</si>
  <si>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</si>
  <si>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</si>
  <si>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</si>
  <si>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</si>
  <si>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</si>
  <si>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</si>
  <si>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</si>
  <si>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</si>
  <si>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</si>
  <si>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</si>
  <si>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</si>
  <si>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</si>
  <si>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</si>
  <si>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</si>
  <si>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</si>
  <si>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</si>
  <si>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</si>
  <si>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</si>
  <si>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</si>
  <si>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</si>
  <si>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</si>
  <si>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</si>
  <si>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</si>
  <si>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</si>
  <si>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</si>
  <si>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</si>
  <si>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</si>
  <si>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</si>
  <si>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</si>
  <si>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</si>
  <si>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</si>
  <si>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</si>
  <si>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</si>
  <si>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</si>
  <si>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</si>
  <si>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</si>
  <si>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</si>
  <si>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</si>
  <si>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</si>
  <si>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</si>
  <si>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</si>
  <si>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</si>
  <si>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</si>
  <si>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</si>
  <si>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</si>
  <si>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</si>
  <si>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</si>
  <si>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</si>
  <si>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</si>
  <si>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</si>
  <si>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</si>
  <si>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</si>
  <si>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</si>
  <si>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</si>
  <si>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</si>
  <si>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</si>
  <si>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</si>
  <si>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</si>
  <si>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</si>
  <si>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</si>
  <si>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</si>
  <si>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</si>
  <si>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</si>
  <si>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</si>
  <si>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</si>
  <si>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</si>
  <si>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</si>
  <si>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</si>
  <si>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</si>
  <si>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</si>
  <si>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</si>
  <si>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</si>
  <si>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</si>
  <si>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</si>
  <si>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</si>
  <si>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</si>
  <si>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</si>
  <si>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</si>
  <si>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</si>
  <si>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</si>
  <si>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</si>
  <si>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</si>
  <si>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</si>
  <si>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</si>
  <si>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</si>
  <si>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</si>
  <si>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</si>
  <si>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</si>
  <si>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</si>
  <si>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</si>
  <si>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</si>
  <si>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</si>
  <si>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</si>
  <si>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</si>
  <si>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</si>
  <si>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</si>
  <si>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</si>
  <si>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</si>
  <si>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</si>
  <si>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</si>
  <si>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</si>
  <si>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</si>
  <si>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</si>
  <si>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</si>
  <si>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</si>
  <si>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</si>
  <si>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</si>
  <si>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</si>
  <si>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</si>
  <si>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</si>
  <si>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</si>
  <si>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</si>
  <si>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</si>
  <si>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</si>
  <si>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</si>
  <si>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</si>
  <si>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</si>
  <si>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</si>
  <si>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</si>
  <si>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</si>
  <si>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</si>
  <si>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</si>
  <si>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</si>
  <si>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</si>
  <si>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</si>
  <si>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</si>
  <si>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</si>
  <si>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</si>
  <si>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</si>
  <si>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</si>
  <si>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</si>
  <si>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</si>
  <si>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</si>
  <si>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</si>
  <si>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</si>
  <si>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</si>
  <si>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</si>
  <si>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</si>
  <si>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</si>
  <si>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</si>
  <si>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</si>
  <si>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</si>
  <si>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</si>
  <si>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</si>
  <si>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</si>
  <si>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</si>
  <si>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</si>
  <si>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</si>
  <si>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</si>
  <si>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</si>
  <si>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</si>
  <si>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</si>
  <si>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</si>
  <si>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</si>
  <si>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</si>
  <si>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</si>
  <si>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</si>
  <si>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</si>
  <si>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</si>
  <si>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</si>
  <si>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</si>
  <si>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</si>
  <si>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</si>
  <si>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</si>
  <si>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</si>
  <si>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</si>
  <si>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</si>
  <si>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</si>
  <si>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</si>
  <si>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</si>
  <si>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</si>
  <si>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</si>
  <si>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</si>
  <si>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</si>
  <si>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</si>
  <si>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</si>
  <si>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</si>
  <si>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</si>
  <si>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</si>
  <si>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</si>
  <si>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</si>
  <si>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</si>
  <si>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</si>
  <si>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</si>
  <si>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</si>
  <si>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</si>
  <si>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</si>
  <si>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</si>
  <si>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</si>
  <si>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</si>
  <si>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</si>
  <si>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</si>
  <si>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</si>
  <si>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</si>
  <si>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</si>
  <si>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</si>
  <si>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</si>
  <si>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</si>
  <si>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</si>
  <si>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</si>
  <si>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</si>
  <si>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</si>
  <si>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</si>
  <si>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</si>
  <si>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</si>
  <si>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</si>
  <si>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</si>
  <si>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</si>
  <si>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</si>
  <si>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</si>
  <si>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</si>
  <si>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</si>
  <si>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</si>
  <si>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</si>
  <si>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</si>
  <si>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</si>
  <si>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</si>
  <si>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</si>
  <si>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</si>
  <si>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</si>
  <si>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</si>
  <si>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</si>
  <si>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</si>
  <si>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</si>
  <si>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</si>
  <si>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</si>
  <si>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</si>
  <si>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</si>
  <si>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</si>
  <si>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</si>
  <si>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</si>
  <si>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</si>
  <si>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</si>
  <si>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</si>
  <si>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</si>
  <si>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</si>
  <si>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</si>
  <si>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</si>
  <si>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</si>
  <si>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</si>
  <si>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</si>
  <si>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</si>
  <si>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</si>
  <si>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</si>
  <si>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</si>
  <si>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</si>
  <si>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</si>
  <si>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</si>
  <si>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</si>
  <si>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</si>
  <si>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</si>
  <si>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</si>
  <si>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</si>
  <si>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</si>
  <si>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</si>
  <si>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</si>
  <si>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</si>
  <si>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</si>
  <si>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</si>
  <si>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</si>
  <si>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</si>
  <si>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</si>
  <si>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</si>
  <si>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</si>
  <si>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</si>
  <si>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</si>
  <si>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</si>
  <si>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</si>
  <si>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</si>
  <si>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</si>
  <si>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</si>
  <si>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</si>
  <si>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</si>
  <si>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</si>
  <si>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</si>
  <si>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</si>
  <si>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</si>
  <si>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</si>
  <si>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</si>
  <si>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</si>
  <si>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</si>
  <si>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</si>
  <si>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</si>
  <si>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</si>
  <si>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</si>
  <si>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</si>
  <si>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</si>
  <si>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</si>
  <si>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</si>
  <si>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</si>
  <si>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</si>
  <si>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</si>
  <si>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</si>
  <si>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</si>
  <si>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</si>
  <si>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</si>
  <si>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</si>
  <si>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</si>
  <si>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</si>
  <si>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</si>
  <si>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</si>
  <si>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</si>
  <si>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</si>
  <si>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</si>
  <si>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</si>
  <si>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</si>
  <si>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</si>
  <si>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</si>
  <si>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</si>
  <si>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</si>
  <si>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</si>
  <si>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</si>
  <si>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</si>
  <si>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</si>
  <si>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</si>
  <si>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</si>
  <si>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</si>
  <si>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</si>
  <si>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</si>
  <si>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</si>
  <si>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</si>
  <si>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</si>
  <si>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</si>
  <si>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</si>
  <si>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</si>
  <si>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</si>
  <si>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</si>
  <si>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</si>
  <si>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</si>
  <si>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</si>
  <si>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</si>
  <si>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</si>
  <si>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</si>
  <si>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</si>
  <si>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</si>
  <si>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</si>
  <si>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</si>
  <si>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</si>
  <si>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</si>
  <si>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</si>
  <si>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</si>
  <si>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</si>
  <si>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</si>
  <si>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</si>
  <si>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</si>
  <si>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</si>
  <si>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</si>
  <si>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</si>
  <si>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</si>
  <si>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</si>
  <si>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</si>
  <si>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</si>
  <si>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</si>
  <si>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</si>
  <si>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</si>
  <si>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</si>
  <si>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</si>
  <si>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</si>
  <si>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</si>
  <si>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</si>
  <si>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</si>
  <si>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</si>
  <si>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</si>
  <si>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</si>
  <si>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</si>
  <si>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</si>
  <si>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</si>
  <si>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</si>
  <si>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</si>
  <si>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</si>
  <si>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</si>
  <si>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</si>
  <si>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</si>
  <si>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</si>
  <si>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</si>
  <si>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</si>
  <si>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</si>
  <si>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</si>
  <si>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</si>
  <si>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</si>
  <si>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</si>
  <si>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</si>
  <si>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</si>
  <si>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</si>
  <si>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</si>
  <si>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</si>
  <si>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</si>
  <si>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</si>
  <si>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</si>
  <si>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</si>
  <si>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</si>
  <si>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</si>
  <si>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</si>
  <si>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</si>
  <si>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</si>
  <si>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</si>
  <si>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</si>
  <si>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</si>
  <si>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</si>
  <si>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</si>
  <si>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</si>
  <si>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</si>
  <si>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</si>
  <si>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</si>
  <si>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</si>
  <si>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</si>
  <si>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</si>
  <si>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</si>
  <si>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</si>
  <si>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</si>
  <si>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</si>
  <si>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</si>
  <si>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</si>
  <si>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</si>
  <si>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</si>
  <si>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</si>
  <si>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</si>
  <si>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</si>
  <si>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</si>
  <si>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</si>
  <si>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</si>
  <si>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</si>
  <si>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</si>
  <si>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</si>
  <si>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</si>
  <si>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</si>
  <si>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</si>
  <si>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</si>
  <si>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</si>
  <si>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</si>
  <si>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</si>
  <si>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</si>
  <si>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</si>
  <si>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</si>
  <si>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</si>
  <si>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</si>
  <si>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</si>
  <si>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</si>
  <si>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</si>
  <si>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</si>
  <si>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</si>
  <si>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</si>
  <si>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</si>
  <si>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</si>
  <si>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</si>
  <si>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</si>
  <si>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</si>
  <si>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</si>
  <si>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</si>
  <si>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</si>
  <si>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</si>
  <si>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</si>
  <si>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</si>
  <si>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</si>
  <si>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</si>
  <si>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</si>
  <si>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</si>
  <si>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</si>
  <si>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</si>
  <si>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</si>
  <si>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</si>
  <si>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</si>
  <si>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</si>
  <si>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</si>
  <si>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</si>
  <si>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</si>
  <si>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</si>
  <si>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</si>
  <si>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</si>
  <si>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</si>
  <si>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</si>
  <si>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</si>
  <si>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</si>
  <si>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</si>
  <si>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</si>
  <si>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</si>
  <si>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</si>
  <si>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</si>
  <si>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</si>
  <si>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</si>
  <si>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</si>
  <si>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</si>
  <si>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</si>
  <si>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</si>
  <si>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</si>
  <si>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</si>
  <si>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</si>
  <si>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</si>
  <si>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</si>
  <si>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</si>
  <si>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</si>
  <si>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</si>
  <si>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</si>
  <si>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</si>
  <si>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</si>
  <si>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</si>
  <si>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</si>
  <si>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</si>
  <si>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</si>
  <si>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</si>
  <si>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</si>
  <si>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</si>
  <si>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</si>
  <si>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</si>
  <si>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</si>
  <si>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</si>
  <si>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</si>
  <si>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</si>
  <si>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</si>
  <si>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</si>
  <si>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</si>
  <si>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</si>
  <si>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</si>
  <si>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</si>
  <si>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</si>
  <si>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</si>
  <si>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</si>
  <si>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</si>
  <si>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</si>
  <si>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</si>
  <si>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</si>
  <si>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</si>
  <si>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</si>
  <si>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</si>
  <si>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</si>
  <si>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</si>
  <si>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</si>
  <si>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</si>
  <si>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</si>
  <si>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</si>
  <si>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</si>
  <si>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</si>
  <si>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</si>
  <si>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</si>
  <si>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</si>
  <si>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</si>
  <si>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</si>
  <si>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</si>
  <si>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</si>
  <si>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</si>
  <si>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</si>
  <si>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</si>
  <si>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</si>
  <si>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</si>
  <si>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</si>
  <si>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</si>
  <si>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</si>
  <si>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</si>
  <si>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</si>
  <si>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</si>
  <si>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</si>
  <si>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</si>
  <si>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</si>
  <si>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</si>
  <si>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</si>
  <si>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</si>
  <si>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</si>
  <si>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</si>
  <si>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</si>
  <si>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</si>
  <si>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</si>
  <si>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</si>
  <si>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</si>
  <si>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</si>
  <si>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</si>
  <si>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</si>
  <si>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</si>
  <si>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</si>
  <si>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</si>
  <si>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</si>
  <si>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</si>
  <si>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</si>
  <si>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</si>
  <si>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</si>
  <si>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</si>
  <si>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</si>
  <si>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</si>
  <si>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</si>
  <si>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</si>
  <si>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</si>
  <si>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</si>
  <si>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</si>
  <si>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</si>
  <si>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</si>
  <si>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</si>
  <si>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</si>
  <si>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</si>
  <si>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</si>
  <si>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</si>
  <si>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</si>
  <si>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</si>
  <si>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</si>
  <si>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</si>
  <si>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</si>
  <si>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</si>
  <si>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</si>
  <si>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</si>
  <si>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</si>
  <si>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</si>
  <si>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</si>
  <si>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</si>
  <si>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</si>
  <si>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</si>
  <si>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</si>
  <si>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</si>
  <si>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</si>
  <si>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</si>
  <si>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</si>
  <si>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</si>
  <si>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</si>
  <si>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</si>
  <si>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</si>
  <si>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</si>
  <si>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</si>
  <si>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</si>
  <si>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</si>
  <si>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</si>
  <si>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</si>
  <si>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</si>
  <si>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</si>
  <si>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</si>
  <si>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</si>
  <si>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</si>
  <si>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</si>
  <si>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</si>
  <si>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</si>
  <si>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</si>
  <si>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</si>
  <si>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</si>
  <si>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</si>
  <si>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</si>
  <si>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</si>
  <si>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</si>
  <si>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</si>
  <si>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</si>
  <si>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</si>
  <si>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</si>
  <si>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</si>
  <si>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</si>
  <si>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</si>
  <si>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</si>
  <si>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</si>
  <si>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</si>
  <si>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</si>
  <si>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</si>
  <si>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</si>
  <si>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</si>
  <si>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</si>
  <si>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</si>
  <si>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</si>
  <si>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</si>
  <si>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</si>
  <si>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</si>
  <si>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</si>
  <si>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</si>
  <si>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</si>
  <si>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</si>
  <si>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</si>
  <si>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</si>
  <si>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</si>
  <si>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</si>
  <si>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</si>
  <si>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</si>
  <si>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</si>
  <si>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</si>
  <si>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</si>
  <si>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</si>
  <si>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</si>
  <si>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</si>
  <si>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</si>
  <si>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</si>
  <si>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</si>
  <si>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</si>
  <si>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</si>
  <si>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</si>
  <si>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</si>
  <si>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</si>
  <si>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</si>
  <si>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</si>
  <si>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</si>
  <si>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</si>
  <si>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</si>
  <si>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</si>
  <si>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</si>
  <si>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</si>
  <si>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</si>
  <si>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</si>
  <si>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</si>
  <si>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</si>
  <si>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</si>
  <si>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</si>
  <si>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</si>
  <si>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</si>
  <si>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</si>
  <si>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</si>
  <si>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</si>
  <si>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</si>
  <si>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</si>
  <si>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</si>
  <si>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</si>
  <si>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</si>
  <si>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</si>
  <si>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</si>
  <si>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</si>
  <si>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</si>
  <si>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</si>
  <si>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</si>
  <si>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</si>
  <si>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</si>
  <si>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</si>
  <si>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</si>
  <si>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</si>
  <si>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</si>
  <si>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</si>
  <si>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</si>
  <si>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</si>
  <si>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</si>
  <si>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</si>
  <si>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</si>
  <si>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</si>
  <si>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</si>
  <si>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</si>
  <si>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</si>
  <si>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</si>
  <si>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</si>
  <si>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</si>
  <si>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</si>
  <si>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</si>
  <si>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</si>
  <si>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</si>
  <si>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</si>
  <si>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</si>
  <si>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</si>
  <si>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</si>
  <si>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</si>
  <si>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</si>
  <si>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</si>
  <si>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</si>
  <si>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</si>
  <si>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</si>
  <si>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</si>
  <si>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</si>
  <si>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</si>
  <si>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</si>
  <si>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</si>
  <si>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</si>
  <si>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</si>
  <si>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</si>
  <si>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</si>
  <si>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</si>
  <si>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</si>
  <si>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</si>
  <si>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</si>
  <si>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</si>
  <si>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</si>
  <si>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</si>
  <si>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</si>
  <si>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</si>
  <si>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</si>
  <si>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</si>
  <si>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</si>
  <si>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</si>
  <si>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</si>
  <si>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</si>
  <si>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</si>
  <si>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</si>
  <si>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</si>
  <si>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</si>
  <si>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</si>
  <si>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</si>
  <si>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</si>
  <si>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</si>
  <si>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</si>
  <si>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</si>
  <si>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</si>
  <si>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</si>
  <si>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</si>
  <si>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</si>
  <si>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</si>
  <si>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</si>
  <si>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</si>
  <si>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</si>
  <si>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</si>
  <si>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</si>
  <si>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</si>
  <si>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</si>
  <si>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</si>
  <si>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</si>
  <si>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</si>
  <si>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</si>
  <si>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</si>
  <si>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</si>
  <si>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</si>
  <si>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</si>
  <si>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</si>
  <si>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</si>
  <si>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</si>
  <si>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</si>
  <si>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</si>
  <si>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</si>
  <si>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</si>
  <si>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</si>
  <si>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</si>
  <si>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</si>
  <si>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</si>
  <si>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</si>
  <si>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</si>
  <si>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</si>
  <si>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</si>
  <si>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</si>
  <si>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</si>
  <si>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</si>
  <si>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</si>
  <si>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</si>
  <si>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</si>
  <si>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</si>
  <si>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</si>
  <si>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</si>
  <si>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</si>
  <si>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</si>
  <si>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</si>
  <si>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</si>
  <si>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</si>
  <si>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</si>
  <si>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</si>
  <si>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</si>
  <si>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</si>
  <si>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</si>
  <si>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</si>
  <si>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</si>
  <si>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</si>
  <si>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</si>
  <si>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</si>
  <si>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</si>
  <si>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</si>
  <si>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</si>
  <si>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</si>
  <si>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</si>
  <si>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</si>
  <si>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</si>
  <si>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</si>
  <si>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</si>
  <si>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</si>
  <si>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</si>
  <si>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</si>
  <si>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</si>
  <si>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</si>
  <si>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</si>
  <si>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</si>
  <si>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</si>
  <si>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</si>
  <si>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</si>
  <si>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</si>
  <si>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</si>
  <si>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</si>
  <si>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</si>
  <si>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</si>
  <si>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</si>
  <si>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</si>
  <si>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</si>
  <si>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</si>
  <si>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</si>
  <si>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</si>
  <si>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</si>
  <si>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</si>
  <si>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</si>
  <si>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</si>
  <si>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</si>
  <si>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</si>
  <si>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</si>
  <si>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</si>
  <si>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</si>
  <si>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</si>
  <si>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</si>
  <si>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</si>
  <si>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</si>
  <si>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</si>
  <si>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</si>
  <si>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</si>
  <si>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</si>
  <si>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</si>
  <si>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</si>
  <si>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</si>
  <si>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</si>
  <si>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</si>
  <si>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</si>
  <si>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</si>
  <si>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</si>
  <si>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</si>
  <si>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</si>
  <si>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</si>
  <si>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</si>
  <si>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</si>
  <si>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</si>
  <si>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</si>
  <si>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</si>
  <si>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</si>
  <si>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</si>
  <si>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</si>
  <si>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</si>
  <si>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</si>
  <si>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</si>
  <si>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</si>
  <si>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</si>
  <si>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</si>
  <si>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</si>
  <si>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</si>
  <si>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</si>
  <si>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</si>
  <si>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</si>
  <si>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</si>
  <si>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</si>
  <si>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</si>
  <si>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</si>
  <si>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</si>
  <si>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</si>
  <si>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</si>
  <si>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</si>
  <si>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</si>
  <si>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</si>
  <si>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</si>
  <si>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</si>
  <si>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</si>
  <si>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</si>
  <si>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</si>
  <si>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</si>
  <si>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</si>
  <si>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</si>
  <si>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</si>
  <si>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</si>
  <si>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</si>
  <si>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</si>
  <si>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</si>
  <si>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</si>
  <si>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</si>
  <si>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</si>
  <si>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</si>
  <si>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</si>
  <si>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</si>
  <si>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</si>
  <si>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</si>
  <si>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</si>
  <si>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</si>
  <si>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</si>
  <si>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</si>
  <si>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</si>
  <si>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</si>
  <si>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</si>
  <si>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</si>
  <si>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</si>
  <si>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</si>
  <si>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</si>
  <si>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</si>
  <si>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</si>
  <si>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</si>
  <si>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</si>
  <si>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</si>
  <si>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</si>
  <si>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</si>
  <si>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</si>
  <si>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</si>
  <si>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</si>
  <si>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</si>
  <si>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</si>
  <si>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</si>
  <si>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</si>
  <si>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</si>
  <si>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</si>
  <si>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</si>
  <si>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</si>
  <si>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</si>
  <si>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</si>
  <si>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</si>
  <si>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</si>
  <si>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</si>
  <si>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</si>
  <si>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</si>
  <si>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</si>
  <si>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</si>
  <si>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</si>
  <si>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</si>
  <si>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</si>
  <si>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</si>
  <si>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</si>
  <si>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</si>
  <si>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</si>
  <si>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</si>
  <si>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</si>
  <si>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</si>
  <si>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</si>
  <si>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</si>
  <si>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</si>
  <si>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</si>
  <si>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</si>
  <si>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</si>
  <si>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</si>
  <si>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</si>
  <si>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</si>
  <si>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</si>
  <si>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</si>
  <si>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</si>
  <si>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</si>
  <si>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</si>
  <si>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</si>
  <si>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</si>
  <si>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</si>
  <si>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</si>
  <si>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</si>
  <si>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</si>
  <si>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</si>
  <si>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</si>
  <si>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</si>
  <si>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</si>
  <si>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</si>
  <si>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</si>
  <si>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</si>
  <si>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</si>
  <si>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</si>
  <si>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</si>
  <si>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</si>
  <si>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</si>
  <si>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</si>
  <si>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</si>
  <si>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</si>
  <si>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</si>
  <si>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</si>
  <si>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</si>
  <si>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</si>
  <si>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</si>
  <si>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</si>
  <si>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</si>
  <si>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</si>
  <si>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</si>
  <si>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</si>
  <si>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</si>
  <si>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</si>
  <si>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</si>
  <si>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</si>
  <si>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</si>
  <si>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</si>
  <si>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</si>
  <si>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</si>
  <si>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</si>
  <si>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</si>
  <si>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</si>
  <si>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</si>
  <si>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</si>
  <si>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</si>
  <si>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</si>
  <si>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</si>
  <si>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</si>
  <si>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</si>
  <si>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</si>
  <si>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</si>
  <si>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</si>
  <si>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</si>
  <si>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</si>
  <si>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</si>
  <si>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</si>
  <si>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</si>
  <si>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</si>
  <si>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</si>
  <si>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</si>
  <si>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</si>
  <si>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</si>
  <si>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</si>
  <si>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</si>
  <si>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</si>
  <si>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</si>
  <si>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</si>
  <si>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</si>
  <si>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</si>
  <si>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</si>
  <si>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</si>
  <si>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</si>
  <si>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</si>
  <si>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</si>
  <si>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</si>
  <si>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</si>
  <si>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</si>
  <si>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</si>
  <si>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</si>
  <si>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</si>
  <si>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</si>
  <si>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</si>
  <si>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</si>
  <si>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</si>
  <si>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</si>
  <si>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</si>
  <si>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</si>
  <si>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</si>
  <si>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</si>
  <si>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</si>
  <si>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</si>
  <si>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</si>
  <si>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</si>
  <si>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</si>
  <si>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</si>
  <si>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</si>
  <si>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</si>
  <si>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</si>
  <si>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</si>
  <si>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</si>
  <si>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</si>
  <si>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</si>
  <si>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</si>
  <si>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</si>
  <si>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</si>
  <si>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</si>
  <si>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</si>
  <si>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</si>
  <si>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</si>
  <si>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</si>
  <si>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</si>
  <si>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</si>
  <si>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</si>
  <si>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</si>
  <si>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</si>
  <si>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</si>
  <si>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</si>
  <si>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</si>
  <si>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</si>
  <si>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</si>
  <si>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</si>
  <si>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</si>
  <si>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</si>
  <si>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</si>
  <si>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</si>
  <si>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</si>
  <si>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</si>
  <si>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</si>
  <si>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</si>
  <si>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</si>
  <si>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</si>
  <si>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</si>
  <si>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</si>
  <si>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</si>
  <si>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</si>
  <si>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</si>
  <si>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</si>
  <si>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</si>
  <si>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</si>
  <si>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</si>
  <si>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</si>
  <si>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</si>
  <si>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</si>
  <si>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</si>
  <si>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</si>
  <si>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</si>
  <si>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</si>
  <si>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</si>
  <si>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</si>
  <si>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</si>
  <si>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</si>
  <si>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</si>
  <si>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</si>
  <si>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</si>
  <si>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</si>
  <si>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</si>
  <si>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</si>
  <si>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</si>
  <si>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</si>
  <si>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</si>
  <si>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</si>
  <si>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</si>
  <si>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</si>
  <si>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</si>
  <si>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</si>
  <si>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</si>
  <si>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</si>
  <si>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</si>
  <si>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</si>
  <si>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</si>
  <si>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</si>
  <si>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</si>
  <si>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</si>
  <si>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</si>
  <si>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</si>
  <si>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</si>
  <si>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</si>
  <si>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</si>
  <si>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</si>
  <si>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</si>
  <si>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</si>
  <si>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</si>
  <si>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</si>
  <si>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</si>
  <si>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</si>
  <si>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</si>
  <si>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</si>
  <si>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</si>
  <si>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</si>
  <si>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</si>
  <si>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</si>
  <si>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</si>
  <si>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</si>
  <si>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</si>
  <si>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</si>
  <si>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</si>
  <si>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</si>
  <si>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</si>
  <si>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</si>
  <si>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</si>
  <si>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</si>
  <si>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</si>
  <si>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</si>
  <si>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</si>
  <si>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</si>
  <si>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</si>
  <si>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</si>
  <si>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</si>
  <si>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</si>
  <si>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</si>
  <si>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</si>
  <si>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</si>
  <si>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</si>
  <si>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</si>
  <si>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</si>
  <si>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</si>
  <si>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</si>
  <si>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</si>
  <si>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</si>
  <si>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</si>
  <si>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</si>
  <si>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</si>
  <si>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</si>
  <si>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</si>
  <si>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</si>
  <si>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</si>
  <si>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</si>
  <si>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</si>
  <si>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</si>
  <si>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</si>
  <si>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</si>
  <si>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</si>
  <si>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</si>
  <si>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</si>
  <si>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</si>
  <si>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</si>
  <si>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</si>
  <si>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</si>
  <si>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</si>
  <si>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</si>
  <si>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</si>
  <si>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</si>
  <si>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</si>
  <si>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</si>
  <si>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</si>
  <si>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</si>
  <si>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</si>
  <si>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</si>
  <si>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</si>
  <si>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</si>
  <si>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</si>
  <si>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</si>
  <si>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</si>
  <si>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</si>
  <si>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</si>
  <si>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</si>
  <si>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</si>
  <si>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</si>
  <si>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</si>
  <si>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</si>
  <si>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</si>
  <si>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</si>
  <si>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</si>
  <si>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</si>
  <si>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</si>
  <si>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</si>
  <si>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</si>
  <si>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</si>
  <si>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</si>
  <si>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</si>
  <si>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</si>
  <si>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</si>
  <si>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</si>
  <si>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</si>
  <si>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</si>
  <si>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</si>
  <si>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</si>
  <si>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</si>
  <si>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</si>
  <si>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</si>
  <si>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</si>
  <si>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</si>
  <si>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</si>
  <si>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</si>
  <si>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</si>
  <si>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</si>
  <si>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</si>
  <si>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</si>
  <si>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</si>
  <si>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</si>
  <si>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</si>
  <si>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</si>
  <si>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</si>
  <si>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</si>
  <si>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</si>
  <si>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</si>
  <si>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</si>
  <si>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</si>
  <si>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</si>
  <si>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</si>
  <si>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</si>
  <si>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</si>
  <si>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</si>
  <si>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</si>
  <si>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</si>
  <si>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</si>
  <si>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</si>
  <si>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</si>
  <si>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</si>
  <si>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</si>
  <si>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</si>
  <si>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</si>
  <si>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</si>
  <si>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</si>
  <si>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</si>
  <si>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</si>
  <si>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</si>
  <si>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</si>
  <si>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</si>
  <si>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</si>
  <si>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</si>
  <si>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</si>
  <si>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</si>
  <si>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</si>
  <si>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</si>
  <si>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</si>
  <si>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</si>
  <si>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</si>
  <si>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</si>
  <si>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</si>
  <si>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</si>
  <si>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</si>
  <si>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</si>
  <si>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</si>
  <si>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</si>
  <si>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</si>
  <si>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</si>
  <si>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</si>
  <si>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</si>
  <si>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</si>
  <si>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</si>
  <si>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</si>
  <si>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</si>
  <si>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</si>
  <si>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</si>
  <si>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</si>
  <si>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</si>
  <si>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</si>
  <si>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</si>
  <si>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</si>
  <si>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</si>
  <si>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</si>
  <si>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</si>
  <si>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</si>
  <si>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</si>
  <si>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</si>
  <si>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</si>
  <si>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</si>
  <si>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</si>
  <si>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</si>
  <si>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</si>
  <si>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</si>
  <si>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</si>
  <si>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</si>
  <si>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</si>
  <si>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</si>
  <si>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</si>
  <si>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</si>
  <si>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</si>
  <si>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</si>
  <si>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</si>
  <si>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</si>
  <si>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</si>
  <si>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</si>
  <si>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</si>
  <si>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</si>
  <si>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</si>
  <si>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</si>
  <si>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</si>
  <si>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</si>
  <si>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</si>
  <si>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</si>
  <si>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</si>
  <si>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</si>
  <si>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</si>
  <si>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</si>
  <si>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</si>
  <si>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</si>
  <si>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</si>
  <si>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</si>
  <si>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</si>
  <si>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</si>
  <si>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</si>
  <si>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</si>
  <si>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</si>
  <si>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</si>
  <si>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</si>
  <si>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</si>
  <si>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</si>
  <si>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</si>
  <si>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</si>
  <si>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</si>
  <si>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</si>
  <si>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</si>
  <si>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</si>
  <si>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</si>
  <si>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</si>
  <si>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</si>
  <si>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</si>
  <si>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</si>
  <si>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</si>
  <si>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</si>
  <si>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</si>
  <si>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</si>
  <si>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</si>
  <si>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</si>
  <si>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</si>
  <si>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</si>
  <si>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</si>
  <si>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</si>
  <si>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</si>
  <si>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</si>
  <si>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</si>
  <si>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</si>
  <si>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</si>
  <si>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</si>
  <si>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</si>
  <si>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</si>
  <si>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</si>
  <si>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</si>
  <si>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</si>
  <si>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</si>
  <si>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</si>
  <si>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</si>
  <si>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</si>
  <si>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</si>
  <si>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</si>
  <si>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</si>
  <si>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</si>
  <si>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</si>
  <si>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</si>
  <si>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</si>
  <si>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</si>
  <si>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</si>
  <si>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</si>
  <si>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</si>
  <si>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</si>
  <si>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</si>
  <si>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</si>
  <si>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</si>
  <si>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</si>
  <si>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</si>
  <si>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</si>
  <si>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</si>
  <si>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</si>
  <si>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</si>
  <si>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</si>
  <si>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</si>
  <si>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</si>
  <si>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</si>
  <si>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</si>
  <si>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</si>
  <si>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</si>
  <si>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</si>
  <si>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</si>
  <si>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</si>
  <si>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</si>
  <si>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</si>
  <si>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</si>
  <si>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</si>
  <si>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</si>
  <si>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</si>
  <si>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</si>
  <si>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</si>
  <si>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</si>
  <si>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</si>
  <si>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</si>
  <si>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</si>
  <si>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</si>
  <si>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</si>
  <si>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</si>
  <si>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</si>
  <si>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</si>
  <si>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</si>
  <si>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</si>
  <si>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</si>
  <si>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</si>
  <si>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</si>
  <si>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</si>
  <si>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</si>
  <si>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</si>
  <si>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</si>
  <si>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</si>
  <si>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</si>
  <si>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</si>
  <si>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</si>
  <si>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</si>
  <si>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</si>
  <si>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</si>
  <si>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</si>
  <si>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</si>
  <si>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</si>
  <si>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</si>
  <si>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</si>
  <si>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</si>
  <si>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</si>
  <si>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</si>
  <si>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</si>
  <si>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</si>
  <si>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</si>
  <si>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</si>
  <si>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</si>
  <si>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</si>
  <si>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</si>
  <si>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</si>
  <si>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</si>
  <si>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</si>
  <si>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</si>
  <si>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</si>
  <si>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</si>
  <si>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</si>
  <si>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</si>
  <si>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</si>
  <si>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</si>
  <si>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</si>
  <si>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</si>
  <si>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</si>
  <si>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</si>
  <si>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</si>
  <si>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</si>
  <si>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</si>
  <si>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</si>
  <si>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</si>
  <si>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</si>
  <si>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</si>
  <si>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</si>
  <si>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</si>
  <si>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</si>
  <si>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</si>
  <si>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</si>
  <si>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</si>
  <si>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</si>
  <si>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</si>
  <si>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</si>
  <si>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</si>
  <si>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</si>
  <si>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</si>
  <si>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</si>
  <si>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</si>
  <si>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</si>
  <si>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</si>
  <si>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</si>
  <si>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</si>
  <si>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</si>
  <si>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</si>
  <si>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</si>
  <si>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</si>
  <si>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</si>
  <si>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</si>
  <si>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</si>
  <si>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</si>
  <si>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</si>
  <si>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</si>
  <si>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</si>
  <si>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</si>
  <si>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</si>
  <si>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</si>
  <si>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</si>
  <si>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</si>
  <si>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</si>
  <si>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</si>
  <si>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</si>
  <si>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</si>
  <si>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</si>
  <si>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</si>
  <si>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</si>
  <si>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</si>
  <si>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</si>
  <si>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</si>
  <si>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</si>
  <si>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</si>
  <si>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</si>
  <si>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</si>
  <si>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</si>
  <si>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</si>
  <si>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</si>
  <si>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</si>
  <si>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</si>
  <si>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</si>
  <si>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</si>
  <si>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</si>
  <si>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</si>
  <si>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</si>
  <si>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</si>
  <si>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</si>
  <si>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</si>
  <si>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</si>
  <si>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</si>
  <si>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</si>
  <si>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</si>
  <si>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</si>
  <si>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</si>
  <si>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</si>
  <si>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</si>
  <si>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</si>
  <si>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</si>
  <si>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</si>
  <si>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</si>
  <si>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</si>
  <si>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</si>
  <si>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</si>
  <si>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</si>
  <si>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</si>
  <si>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</si>
  <si>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</si>
  <si>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</si>
  <si>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</si>
  <si>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</si>
  <si>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</si>
  <si>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</si>
  <si>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</si>
  <si>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</si>
  <si>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</si>
  <si>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</si>
  <si>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</si>
  <si>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</si>
  <si>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</si>
  <si>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</si>
  <si>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</si>
  <si>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</si>
  <si>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</si>
  <si>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</si>
  <si>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</si>
  <si>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</si>
  <si>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</si>
  <si>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</si>
  <si>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</si>
  <si>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</si>
  <si>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</si>
  <si>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</si>
  <si>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</si>
  <si>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</si>
  <si>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</si>
  <si>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</si>
  <si>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</si>
  <si>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</si>
  <si>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</si>
  <si>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</si>
  <si>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</si>
  <si>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</si>
  <si>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</si>
  <si>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</si>
  <si>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</si>
  <si>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</si>
  <si>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</si>
  <si>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</si>
  <si>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</si>
  <si>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</si>
  <si>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</si>
  <si>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</si>
  <si>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</si>
  <si>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</si>
  <si>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</si>
  <si>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</si>
  <si>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</si>
  <si>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</si>
  <si>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</si>
  <si>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</si>
  <si>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</si>
  <si>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</si>
  <si>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</si>
  <si>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</si>
  <si>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</si>
  <si>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</si>
  <si>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</si>
  <si>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</si>
  <si>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</si>
  <si>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</si>
  <si>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</si>
  <si>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</si>
  <si>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</si>
  <si>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</si>
  <si>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</si>
  <si>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</si>
  <si>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</si>
  <si>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</si>
  <si>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</si>
  <si>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</si>
  <si>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</si>
  <si>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</si>
  <si>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</si>
  <si>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</si>
  <si>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</si>
  <si>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</si>
  <si>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</si>
  <si>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</si>
  <si>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</si>
  <si>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</si>
  <si>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</si>
  <si>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</si>
  <si>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</si>
  <si>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</si>
  <si>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</si>
  <si>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</si>
  <si>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</si>
  <si>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</si>
  <si>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</si>
  <si>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</si>
  <si>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</si>
  <si>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</si>
  <si>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</si>
  <si>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</si>
  <si>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</si>
  <si>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</si>
  <si>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</si>
  <si>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</si>
  <si>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</si>
  <si>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</si>
  <si>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</si>
  <si>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</si>
  <si>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</si>
  <si>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</si>
  <si>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</si>
  <si>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</si>
  <si>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</si>
  <si>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</si>
  <si>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</si>
  <si>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</si>
  <si>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</si>
  <si>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</si>
  <si>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</si>
  <si>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</si>
  <si>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</si>
  <si>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</si>
  <si>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</si>
  <si>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</si>
  <si>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</si>
  <si>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</si>
  <si>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</si>
  <si>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</si>
  <si>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</si>
  <si>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</si>
  <si>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</si>
  <si>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</si>
  <si>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</si>
  <si>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</si>
  <si>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</si>
  <si>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</si>
  <si>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</si>
  <si>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</si>
  <si>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</si>
  <si>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</si>
  <si>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</si>
  <si>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</si>
  <si>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</si>
  <si>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</si>
  <si>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</si>
  <si>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</si>
  <si>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</si>
  <si>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</si>
  <si>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</si>
  <si>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</si>
  <si>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</si>
  <si>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</si>
  <si>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</si>
  <si>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</si>
  <si>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</si>
  <si>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</si>
  <si>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</si>
  <si>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</si>
  <si>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</si>
  <si>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</si>
  <si>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</si>
  <si>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</si>
  <si>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</si>
  <si>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</si>
  <si>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</si>
  <si>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</si>
  <si>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</si>
  <si>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</si>
  <si>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</si>
  <si>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</si>
  <si>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</si>
  <si>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</si>
  <si>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</si>
  <si>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</si>
  <si>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</si>
  <si>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</si>
  <si>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</si>
  <si>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</si>
  <si>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</si>
  <si>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</si>
  <si>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</si>
  <si>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</si>
  <si>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</si>
  <si>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</si>
  <si>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</si>
  <si>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</si>
  <si>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</si>
  <si>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</si>
  <si>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</si>
  <si>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</si>
  <si>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</si>
  <si>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</si>
  <si>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</si>
  <si>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</si>
  <si>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</si>
  <si>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</si>
  <si>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</si>
  <si>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</si>
  <si>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</si>
  <si>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</si>
  <si>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</si>
  <si>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</si>
  <si>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</si>
  <si>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</si>
  <si>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</si>
  <si>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</si>
  <si>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</si>
  <si>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</si>
  <si>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</si>
  <si>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</si>
  <si>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</si>
  <si>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</si>
  <si>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</si>
  <si>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</si>
  <si>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</si>
  <si>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</si>
  <si>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</si>
  <si>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</si>
  <si>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</si>
  <si>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</si>
  <si>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</si>
  <si>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</si>
  <si>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</si>
  <si>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</si>
  <si>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</si>
  <si>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</si>
  <si>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</si>
  <si>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</si>
  <si>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</si>
  <si>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</si>
  <si>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</si>
  <si>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</si>
  <si>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</si>
  <si>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</si>
  <si>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</si>
  <si>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</si>
  <si>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</si>
  <si>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</si>
  <si>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</si>
  <si>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</si>
  <si>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</si>
  <si>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</si>
  <si>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</si>
  <si>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</si>
  <si>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</si>
  <si>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</si>
  <si>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</si>
  <si>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</si>
  <si>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</si>
  <si>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</si>
  <si>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</si>
  <si>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</si>
  <si>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</si>
  <si>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</si>
  <si>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</si>
  <si>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</si>
  <si>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</si>
  <si>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</si>
  <si>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</si>
  <si>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</si>
  <si>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</si>
  <si>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</si>
  <si>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</si>
  <si>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</si>
  <si>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</si>
  <si>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</si>
  <si>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</si>
  <si>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</si>
  <si>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</si>
  <si>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</si>
  <si>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</si>
  <si>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</si>
  <si>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</si>
  <si>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</si>
  <si>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</si>
  <si>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</si>
  <si>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</si>
  <si>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</si>
  <si>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</si>
  <si>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</si>
  <si>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</si>
  <si>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</si>
  <si>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</si>
  <si>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</si>
  <si>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</si>
  <si>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</si>
  <si>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</si>
  <si>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</si>
  <si>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</si>
  <si>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</si>
  <si>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</si>
  <si>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</si>
  <si>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</si>
  <si>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</si>
  <si>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</si>
  <si>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</si>
  <si>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</si>
  <si>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</si>
  <si>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</si>
  <si>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</si>
  <si>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</si>
  <si>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</si>
  <si>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</si>
  <si>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</si>
  <si>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</si>
  <si>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</si>
  <si>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</si>
  <si>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</si>
  <si>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</si>
  <si>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</si>
  <si>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</si>
  <si>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</si>
  <si>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</si>
  <si>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</si>
  <si>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</si>
  <si>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</si>
  <si>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</si>
  <si>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</si>
  <si>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</si>
  <si>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</si>
  <si>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</si>
  <si>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</si>
  <si>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</si>
  <si>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</si>
  <si>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</si>
  <si>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</si>
  <si>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</si>
  <si>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</si>
  <si>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</si>
  <si>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</si>
  <si>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</si>
  <si>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</si>
  <si>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</si>
  <si>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</si>
  <si>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</si>
  <si>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</si>
  <si>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</si>
  <si>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</si>
  <si>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</si>
  <si>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</si>
  <si>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</si>
  <si>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</si>
  <si>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</si>
  <si>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</si>
  <si>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</si>
  <si>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</si>
  <si>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</si>
  <si>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</si>
  <si>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</si>
  <si>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</si>
  <si>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</si>
  <si>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</si>
  <si>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</si>
  <si>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</si>
  <si>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</si>
  <si>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</si>
  <si>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</si>
  <si>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</si>
  <si>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</si>
  <si>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</si>
  <si>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</si>
  <si>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</si>
  <si>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</si>
  <si>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</si>
  <si>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</si>
  <si>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</si>
  <si>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</si>
  <si>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</si>
  <si>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</si>
  <si>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</si>
  <si>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</si>
  <si>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</si>
  <si>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</si>
  <si>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</si>
  <si>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</si>
  <si>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</si>
  <si>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</si>
  <si>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</si>
  <si>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</si>
  <si>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</si>
  <si>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</si>
  <si>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</si>
  <si>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</si>
  <si>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</si>
  <si>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</si>
  <si>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</si>
  <si>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</si>
  <si>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</si>
  <si>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</si>
  <si>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</si>
  <si>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</si>
  <si>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</si>
  <si>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</si>
  <si>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</si>
  <si>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</si>
  <si>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</si>
  <si>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</si>
  <si>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</si>
  <si>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</si>
  <si>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</si>
  <si>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</si>
  <si>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</si>
  <si>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</si>
  <si>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</si>
  <si>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</si>
  <si>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</si>
  <si>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</si>
  <si>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</si>
  <si>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</si>
  <si>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</si>
  <si>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</si>
  <si>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</si>
  <si>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</si>
  <si>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</si>
  <si>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</si>
  <si>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</si>
  <si>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</si>
  <si>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</si>
  <si>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</si>
  <si>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</si>
  <si>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</si>
  <si>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</si>
  <si>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</si>
  <si>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</si>
  <si>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</si>
  <si>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</si>
  <si>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</si>
  <si>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</si>
  <si>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</si>
  <si>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</si>
  <si>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</si>
  <si>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</si>
  <si>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</si>
  <si>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</si>
  <si>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</si>
  <si>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</si>
  <si>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</si>
  <si>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</si>
  <si>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</si>
  <si>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</si>
  <si>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</si>
  <si>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</si>
  <si>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</si>
  <si>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</si>
  <si>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</si>
  <si>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</si>
  <si>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</si>
  <si>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</si>
  <si>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</si>
  <si>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</si>
  <si>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</si>
  <si>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</si>
  <si>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</si>
  <si>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</si>
  <si>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</si>
  <si>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</si>
  <si>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</si>
  <si>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</si>
  <si>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</si>
  <si>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</si>
  <si>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</si>
  <si>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</si>
  <si>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</si>
  <si>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</si>
  <si>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</si>
  <si>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</si>
  <si>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</si>
  <si>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</si>
  <si>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</si>
  <si>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</si>
  <si>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</si>
  <si>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</si>
  <si>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</si>
  <si>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</si>
  <si>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</si>
  <si>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</si>
  <si>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</si>
  <si>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</si>
  <si>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</si>
  <si>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</si>
  <si>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</si>
  <si>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</si>
  <si>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</si>
  <si>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</si>
  <si>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</si>
  <si>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</si>
  <si>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</si>
  <si>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</si>
  <si>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</si>
  <si>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</si>
  <si>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</si>
  <si>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</si>
  <si>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</si>
  <si>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</si>
  <si>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</si>
  <si>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</si>
  <si>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</si>
  <si>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</si>
  <si>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</si>
  <si>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</si>
  <si>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</si>
  <si>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</si>
  <si>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</si>
  <si>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</si>
  <si>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</si>
  <si>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</si>
  <si>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</si>
  <si>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</si>
  <si>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</si>
  <si>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</si>
  <si>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</si>
  <si>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</si>
  <si>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</si>
  <si>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</si>
  <si>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</si>
  <si>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</si>
  <si>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</si>
  <si>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</si>
  <si>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</si>
  <si>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</si>
  <si>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</si>
  <si>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</si>
  <si>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</si>
  <si>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</si>
  <si>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</si>
  <si>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</si>
  <si>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</si>
  <si>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</si>
  <si>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</si>
  <si>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</si>
  <si>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</si>
  <si>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</si>
  <si>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</si>
  <si>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</si>
  <si>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</si>
  <si>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</si>
  <si>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</si>
  <si>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</si>
  <si>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</si>
  <si>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</si>
  <si>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</si>
  <si>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</si>
  <si>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</si>
  <si>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</si>
  <si>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</si>
  <si>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</si>
  <si>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</si>
  <si>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</si>
  <si>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</si>
  <si>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</si>
  <si>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</si>
  <si>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</si>
  <si>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</si>
  <si>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</si>
  <si>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</si>
  <si>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</si>
  <si>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</si>
  <si>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</si>
  <si>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</si>
  <si>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</si>
  <si>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</si>
  <si>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</si>
  <si>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</si>
  <si>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</si>
  <si>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</si>
  <si>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</si>
  <si>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</si>
  <si>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</si>
  <si>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</si>
  <si>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</si>
  <si>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</si>
  <si>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</si>
  <si>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</si>
  <si>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</si>
  <si>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</si>
  <si>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</si>
  <si>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</si>
  <si>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</si>
  <si>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</si>
  <si>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</si>
  <si>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</si>
  <si>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</si>
  <si>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</si>
  <si>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</si>
  <si>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</si>
  <si>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</si>
  <si>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</si>
  <si>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</si>
  <si>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</si>
  <si>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</si>
  <si>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</si>
  <si>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</si>
  <si>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</si>
  <si>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</si>
  <si>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</si>
  <si>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</si>
  <si>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</si>
  <si>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</si>
  <si>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</si>
  <si>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</si>
  <si>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</si>
  <si>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</si>
  <si>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</si>
  <si>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</si>
  <si>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</si>
  <si>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</si>
  <si>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</si>
  <si>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</si>
  <si>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</si>
  <si>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</si>
  <si>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</si>
  <si>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</si>
  <si>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</si>
  <si>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</si>
  <si>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</si>
  <si>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</si>
  <si>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</si>
  <si>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</si>
  <si>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</si>
  <si>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</si>
  <si>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</si>
  <si>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</si>
  <si>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</si>
  <si>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</si>
  <si>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</si>
  <si>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</si>
  <si>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</si>
  <si>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</si>
  <si>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</si>
  <si>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</si>
  <si>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</si>
  <si>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</si>
  <si>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</si>
  <si>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</si>
  <si>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</si>
  <si>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</si>
  <si>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</si>
  <si>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</si>
  <si>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</si>
  <si>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</si>
  <si>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</si>
  <si>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</si>
  <si>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</si>
  <si>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</si>
  <si>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</si>
  <si>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</si>
  <si>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</si>
  <si>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</si>
  <si>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</si>
  <si>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</si>
  <si>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</si>
  <si>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</si>
  <si>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</si>
  <si>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</si>
  <si>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</si>
  <si>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</si>
  <si>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</si>
  <si>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</si>
  <si>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</si>
  <si>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</si>
  <si>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</si>
  <si>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</si>
  <si>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</si>
  <si>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</si>
  <si>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</si>
  <si>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</si>
  <si>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</si>
  <si>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</si>
  <si>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</si>
  <si>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</si>
  <si>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</si>
  <si>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</si>
  <si>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</si>
  <si>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</si>
  <si>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</si>
  <si>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</si>
  <si>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</si>
  <si>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</si>
  <si>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</si>
  <si>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</si>
  <si>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</si>
  <si>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</si>
  <si>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</si>
  <si>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</si>
  <si>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</si>
  <si>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</si>
  <si>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</si>
  <si>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</si>
  <si>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</si>
  <si>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</si>
  <si>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</si>
  <si>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</si>
  <si>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</si>
  <si>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</si>
  <si>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</si>
  <si>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</si>
  <si>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</si>
  <si>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</si>
  <si>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</si>
  <si>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</si>
  <si>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</si>
  <si>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</si>
  <si>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</si>
  <si>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</si>
  <si>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</si>
  <si>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</si>
  <si>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</si>
  <si>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</si>
  <si>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</si>
  <si>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</si>
  <si>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</si>
  <si>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</si>
  <si>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</si>
  <si>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</si>
  <si>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</si>
  <si>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</si>
  <si>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</si>
  <si>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</si>
  <si>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</si>
  <si>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</si>
  <si>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</si>
  <si>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</si>
  <si>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</si>
  <si>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</si>
  <si>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</si>
  <si>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</si>
  <si>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</si>
  <si>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</si>
  <si>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</si>
  <si>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</si>
  <si>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</si>
  <si>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</si>
  <si>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</si>
  <si>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</si>
  <si>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</si>
  <si>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</si>
  <si>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</si>
  <si>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</si>
  <si>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</si>
  <si>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</si>
  <si>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</si>
  <si>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</si>
  <si>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</si>
  <si>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</si>
  <si>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</si>
  <si>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</si>
  <si>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</si>
  <si>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</si>
  <si>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</si>
  <si>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</si>
  <si>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</si>
  <si>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</si>
  <si>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</si>
  <si>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</si>
  <si>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</si>
  <si>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</si>
  <si>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</si>
  <si>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</si>
  <si>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</si>
  <si>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</si>
  <si>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</si>
  <si>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</si>
  <si>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</si>
  <si>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</si>
  <si>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</si>
  <si>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</si>
  <si>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</si>
  <si>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</si>
  <si>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</si>
  <si>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</si>
  <si>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</si>
  <si>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</si>
  <si>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</si>
  <si>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</si>
  <si>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</si>
  <si>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</si>
  <si>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</si>
  <si>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</si>
  <si>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</si>
  <si>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</si>
  <si>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</si>
  <si>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</si>
  <si>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</si>
  <si>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</si>
  <si>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</si>
  <si>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</si>
  <si>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</si>
  <si>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</si>
  <si>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</si>
  <si>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</si>
  <si>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</si>
  <si>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</si>
  <si>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</si>
  <si>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</si>
  <si>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</si>
  <si>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</si>
  <si>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</si>
  <si>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</si>
  <si>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</si>
  <si>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</si>
  <si>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</si>
  <si>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</si>
  <si>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</si>
  <si>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</si>
  <si>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</si>
  <si>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</si>
  <si>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</si>
  <si>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</si>
  <si>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</si>
  <si>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</si>
  <si>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</si>
  <si>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</si>
  <si>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</si>
  <si>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</si>
  <si>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</si>
  <si>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</si>
  <si>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</si>
  <si>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</si>
  <si>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</si>
  <si>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</si>
  <si>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</si>
  <si>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</si>
  <si>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</si>
  <si>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</si>
  <si>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</si>
  <si>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</si>
  <si>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</si>
  <si>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</si>
  <si>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</si>
  <si>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</si>
  <si>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</si>
  <si>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</si>
  <si>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</si>
  <si>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</si>
  <si>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</si>
  <si>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</si>
  <si>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</si>
  <si>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</si>
  <si>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</si>
  <si>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</si>
  <si>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</si>
  <si>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</si>
  <si>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</si>
  <si>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</si>
  <si>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</si>
  <si>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</si>
  <si>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</si>
  <si>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</si>
  <si>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</si>
  <si>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</si>
  <si>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</si>
  <si>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</si>
  <si>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</si>
  <si>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</si>
  <si>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</si>
  <si>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</si>
  <si>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</si>
  <si>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</si>
  <si>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</si>
  <si>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</si>
  <si>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</si>
  <si>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</si>
  <si>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</si>
  <si>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</si>
  <si>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</si>
  <si>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</si>
  <si>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</si>
  <si>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</si>
  <si>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</si>
  <si>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</si>
  <si>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</si>
  <si>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</si>
  <si>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</si>
  <si>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</si>
  <si>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</si>
  <si>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</si>
  <si>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</si>
  <si>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</si>
  <si>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</si>
  <si>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</si>
  <si>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</si>
  <si>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</si>
  <si>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</si>
  <si>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</si>
  <si>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</si>
  <si>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</si>
  <si>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</si>
  <si>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</si>
  <si>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</si>
  <si>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</si>
  <si>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</si>
  <si>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</si>
  <si>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</si>
  <si>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</si>
  <si>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</si>
  <si>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</si>
  <si>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</si>
  <si>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</si>
  <si>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</si>
  <si>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</si>
  <si>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</si>
  <si>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</si>
  <si>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</si>
  <si>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</si>
  <si>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</si>
  <si>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</si>
  <si>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</si>
  <si>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</si>
  <si>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</si>
  <si>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</si>
  <si>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</si>
  <si>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</si>
  <si>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</si>
  <si>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</si>
  <si>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</si>
  <si>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</si>
  <si>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</si>
  <si>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</si>
  <si>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</si>
  <si>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</si>
  <si>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</si>
  <si>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</si>
  <si>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</si>
  <si>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</si>
  <si>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</si>
  <si>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</si>
  <si>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</si>
  <si>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</si>
  <si>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</si>
  <si>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</si>
  <si>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</si>
  <si>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</si>
  <si>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</si>
  <si>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</si>
  <si>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</si>
  <si>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</si>
  <si>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</si>
  <si>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</si>
  <si>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</si>
  <si>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</si>
  <si>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</si>
  <si>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</si>
  <si>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</si>
  <si>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</si>
  <si>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</si>
  <si>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</si>
  <si>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</si>
  <si>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</si>
  <si>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</si>
  <si>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</si>
  <si>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</si>
  <si>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</si>
  <si>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</si>
  <si>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</si>
  <si>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</si>
  <si>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</si>
  <si>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</si>
  <si>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</si>
  <si>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</si>
  <si>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</si>
  <si>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</si>
  <si>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</si>
  <si>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</si>
  <si>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</si>
  <si>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</si>
  <si>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</si>
  <si>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</si>
  <si>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</si>
  <si>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</si>
  <si>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</si>
  <si>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</si>
  <si>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</si>
  <si>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</si>
  <si>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</si>
  <si>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</si>
  <si>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</si>
  <si>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</si>
  <si>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</si>
  <si>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</si>
  <si>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</si>
  <si>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</si>
  <si>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</si>
  <si>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</si>
  <si>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</si>
  <si>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</si>
  <si>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</si>
  <si>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</si>
  <si>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</si>
  <si>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</si>
  <si>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</si>
  <si>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</si>
  <si>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</si>
  <si>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</si>
  <si>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</si>
  <si>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</si>
  <si>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</si>
  <si>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</si>
  <si>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</si>
  <si>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</si>
  <si>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</si>
  <si>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</si>
  <si>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</si>
  <si>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</si>
  <si>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</si>
  <si>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</si>
  <si>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</si>
  <si>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</si>
  <si>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</si>
  <si>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</si>
  <si>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</si>
  <si>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</si>
  <si>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</si>
  <si>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</si>
  <si>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</si>
  <si>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</si>
  <si>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</si>
  <si>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</si>
  <si>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</si>
  <si>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</si>
  <si>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</si>
  <si>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</si>
  <si>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</si>
  <si>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</si>
  <si>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</si>
  <si>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</si>
  <si>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</si>
  <si>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</si>
  <si>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</si>
  <si>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</si>
  <si>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</si>
  <si>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</si>
  <si>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</si>
  <si>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</si>
  <si>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</si>
  <si>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</si>
  <si>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</si>
  <si>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</si>
  <si>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</si>
  <si>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</si>
  <si>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</si>
  <si>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</si>
  <si>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</si>
  <si>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</si>
  <si>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</si>
  <si>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</si>
  <si>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</si>
  <si>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</si>
  <si>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</si>
  <si>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</si>
  <si>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</si>
  <si>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</si>
  <si>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</si>
  <si>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</si>
  <si>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</si>
  <si>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</si>
  <si>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</si>
  <si>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</si>
  <si>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</si>
  <si>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</si>
  <si>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</si>
  <si>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</si>
  <si>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</si>
  <si>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</si>
  <si>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</si>
  <si>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</si>
  <si>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</si>
  <si>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</si>
  <si>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</si>
  <si>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</si>
  <si>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</si>
  <si>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</si>
  <si>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</si>
  <si>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</si>
  <si>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</si>
  <si>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</si>
  <si>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</si>
  <si>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</si>
  <si>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</si>
  <si>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</si>
  <si>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</si>
  <si>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</si>
  <si>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</si>
  <si>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</si>
  <si>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</si>
  <si>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</si>
  <si>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</si>
  <si>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</si>
  <si>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</si>
  <si>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</si>
  <si>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</si>
  <si>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</si>
  <si>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</si>
  <si>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</si>
  <si>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</si>
  <si>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</si>
  <si>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</si>
  <si>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</si>
  <si>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</si>
  <si>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</si>
  <si>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</si>
  <si>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</si>
  <si>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</si>
  <si>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</si>
  <si>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</si>
  <si>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</si>
  <si>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</si>
  <si>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</si>
  <si>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</si>
  <si>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</si>
  <si>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</si>
  <si>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</si>
  <si>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</si>
  <si>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</si>
  <si>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</si>
  <si>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</si>
  <si>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</si>
  <si>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</si>
  <si>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</si>
  <si>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</si>
  <si>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</si>
  <si>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</si>
  <si>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</si>
  <si>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</si>
  <si>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</si>
  <si>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</si>
  <si>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</si>
  <si>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</si>
  <si>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</si>
  <si>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</si>
  <si>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</si>
  <si>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</si>
  <si>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</si>
  <si>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</si>
  <si>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</si>
  <si>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</si>
  <si>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</si>
  <si>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</si>
  <si>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</si>
  <si>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</si>
  <si>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</si>
  <si>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</si>
  <si>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</si>
  <si>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</si>
  <si>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</si>
  <si>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</si>
  <si>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</si>
  <si>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</si>
  <si>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</si>
  <si>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</si>
  <si>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</si>
  <si>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</si>
  <si>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</si>
  <si>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</si>
  <si>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</si>
  <si>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</si>
  <si>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</si>
  <si>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</si>
  <si>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</si>
  <si>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</si>
  <si>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</si>
  <si>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</si>
  <si>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</si>
  <si>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</si>
  <si>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</si>
  <si>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</si>
  <si>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</si>
  <si>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</si>
  <si>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</si>
  <si>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</si>
  <si>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</si>
  <si>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</si>
  <si>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</si>
  <si>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</si>
  <si>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</si>
  <si>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</si>
  <si>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</si>
  <si>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</si>
  <si>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</si>
  <si>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</si>
  <si>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</si>
  <si>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</si>
  <si>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</si>
  <si>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</si>
  <si>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</si>
  <si>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</si>
  <si>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</si>
  <si>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</si>
  <si>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</si>
  <si>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</si>
  <si>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</si>
  <si>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</si>
  <si>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</si>
  <si>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</si>
  <si>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</si>
  <si>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</si>
  <si>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</si>
  <si>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</si>
  <si>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</si>
  <si>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</si>
  <si>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</si>
  <si>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</si>
  <si>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</si>
  <si>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</si>
  <si>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</si>
  <si>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</si>
  <si>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</si>
  <si>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</si>
  <si>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</si>
  <si>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</si>
  <si>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</si>
  <si>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</si>
  <si>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</si>
  <si>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</si>
  <si>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</si>
  <si>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</si>
  <si>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</si>
  <si>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</si>
  <si>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</si>
  <si>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</si>
  <si>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</si>
  <si>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</si>
  <si>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</si>
  <si>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</si>
  <si>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</si>
  <si>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</si>
  <si>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</si>
  <si>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</si>
  <si>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</si>
  <si>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</si>
  <si>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</si>
  <si>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</si>
  <si>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</si>
  <si>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</si>
  <si>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</si>
  <si>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</si>
  <si>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</si>
  <si>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</si>
  <si>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</si>
  <si>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</si>
  <si>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</si>
  <si>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</si>
  <si>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</si>
  <si>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</si>
  <si>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</si>
  <si>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</si>
  <si>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</si>
  <si>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</si>
  <si>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</si>
  <si>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</si>
  <si>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</si>
  <si>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</si>
  <si>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</si>
  <si>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</si>
  <si>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</si>
  <si>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</si>
  <si>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</si>
  <si>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</si>
  <si>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</si>
  <si>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</si>
  <si>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</si>
  <si>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</si>
  <si>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</si>
  <si>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</si>
  <si>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</si>
  <si>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</si>
  <si>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</si>
  <si>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</si>
  <si>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</si>
  <si>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</si>
  <si>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</si>
  <si>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</si>
  <si>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</si>
  <si>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</si>
  <si>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</si>
  <si>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</si>
  <si>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</si>
  <si>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</si>
  <si>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</si>
  <si>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</si>
  <si>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</si>
  <si>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</si>
  <si>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</si>
  <si>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</si>
  <si>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</si>
  <si>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</si>
  <si>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</si>
  <si>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</si>
  <si>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</si>
  <si>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</si>
  <si>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</si>
  <si>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</si>
  <si>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</si>
  <si>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</si>
  <si>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</si>
  <si>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</si>
  <si>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</si>
  <si>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</si>
  <si>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</si>
  <si>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</si>
  <si>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</si>
  <si>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</si>
  <si>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</si>
  <si>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</si>
  <si>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</si>
  <si>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</si>
  <si>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</si>
  <si>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</si>
  <si>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</si>
  <si>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</si>
  <si>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</si>
  <si>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</si>
  <si>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</si>
  <si>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</si>
  <si>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</si>
  <si>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</si>
  <si>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</si>
  <si>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</si>
  <si>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</si>
  <si>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</si>
  <si>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</si>
  <si>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</si>
  <si>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</si>
  <si>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</si>
  <si>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</si>
  <si>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</si>
  <si>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</si>
  <si>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</si>
  <si>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</si>
  <si>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</si>
  <si>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</si>
  <si>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</si>
  <si>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</si>
  <si>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</si>
  <si>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</si>
  <si>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</si>
  <si>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</si>
  <si>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</si>
  <si>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</si>
  <si>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</si>
  <si>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</si>
  <si>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</si>
  <si>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</si>
  <si>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</si>
  <si>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</si>
  <si>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</si>
  <si>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</si>
  <si>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</si>
  <si>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</si>
  <si>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</si>
  <si>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</si>
  <si>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</si>
  <si>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</si>
  <si>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</si>
  <si>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</si>
  <si>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</si>
  <si>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</si>
  <si>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</si>
  <si>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</si>
  <si>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</si>
  <si>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</si>
  <si>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</si>
  <si>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</si>
  <si>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</si>
  <si>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</si>
  <si>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</si>
  <si>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</si>
  <si>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</si>
  <si>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</si>
  <si>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</si>
  <si>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</si>
  <si>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</si>
  <si>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</si>
  <si>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</si>
  <si>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</si>
  <si>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</si>
  <si>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</si>
  <si>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</si>
  <si>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</si>
  <si>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</si>
  <si>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</si>
  <si>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</si>
  <si>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</si>
  <si>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</si>
  <si>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</si>
  <si>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</si>
  <si>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</si>
  <si>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</si>
  <si>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</si>
  <si>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</si>
  <si>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</si>
  <si>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</si>
  <si>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</si>
  <si>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</si>
  <si>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</si>
  <si>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</si>
  <si>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</si>
  <si>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</si>
  <si>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</si>
  <si>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</si>
  <si>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</si>
  <si>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</si>
  <si>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</si>
  <si>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</si>
  <si>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</si>
  <si>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</si>
  <si>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</si>
  <si>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</si>
  <si>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</si>
  <si>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</si>
  <si>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</si>
  <si>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</si>
  <si>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</si>
  <si>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</si>
  <si>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</si>
  <si>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</si>
  <si>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</si>
  <si>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</si>
  <si>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</si>
  <si>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</si>
  <si>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</si>
  <si>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</si>
  <si>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</si>
  <si>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</si>
  <si>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</si>
  <si>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</si>
  <si>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</si>
  <si>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</si>
  <si>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</si>
  <si>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</si>
  <si>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</si>
  <si>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</si>
  <si>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</si>
  <si>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</si>
  <si>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</si>
  <si>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</si>
  <si>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</si>
  <si>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</si>
  <si>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</si>
  <si>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</si>
  <si>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</si>
  <si>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</si>
  <si>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</si>
  <si>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</si>
  <si>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</si>
  <si>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</si>
  <si>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</si>
  <si>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</si>
  <si>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</si>
  <si>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</si>
  <si>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</si>
  <si>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</si>
  <si>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</si>
  <si>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</si>
  <si>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</si>
  <si>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</si>
  <si>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</si>
  <si>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</si>
  <si>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</si>
  <si>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</si>
  <si>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</si>
  <si>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</si>
  <si>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</si>
  <si>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</si>
  <si>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</si>
  <si>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</si>
  <si>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</si>
  <si>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</si>
  <si>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</si>
  <si>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</si>
  <si>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</si>
  <si>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</si>
  <si>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</si>
  <si>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</si>
  <si>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</si>
  <si>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</si>
  <si>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</si>
  <si>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</si>
  <si>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</si>
  <si>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</si>
  <si>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</si>
  <si>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</si>
  <si>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</si>
  <si>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</si>
  <si>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</si>
  <si>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</si>
  <si>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</si>
  <si>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</si>
  <si>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</si>
  <si>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</si>
  <si>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</si>
  <si>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</si>
  <si>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</si>
  <si>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</si>
  <si>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</si>
  <si>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</si>
  <si>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</si>
  <si>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</si>
  <si>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</si>
  <si>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</si>
  <si>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</si>
  <si>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</si>
  <si>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</si>
  <si>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</si>
  <si>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</si>
  <si>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</si>
  <si>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</si>
  <si>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</si>
  <si>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</si>
  <si>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</si>
  <si>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</si>
  <si>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</si>
  <si>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</si>
  <si>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</si>
  <si>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</si>
  <si>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</si>
  <si>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</si>
  <si>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</si>
  <si>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</si>
  <si>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</si>
  <si>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</si>
  <si>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</si>
  <si>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</si>
  <si>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</si>
  <si>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</si>
  <si>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</si>
  <si>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</si>
  <si>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</si>
  <si>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</si>
  <si>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</si>
  <si>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</si>
  <si>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</si>
  <si>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</si>
  <si>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</si>
  <si>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</si>
  <si>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</si>
  <si>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</si>
  <si>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</si>
  <si>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</si>
  <si>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</si>
  <si>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</si>
  <si>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</si>
  <si>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</si>
  <si>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</si>
  <si>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</si>
  <si>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</si>
  <si>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</si>
  <si>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</si>
  <si>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</si>
  <si>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</si>
  <si>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</si>
  <si>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</si>
  <si>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</si>
  <si>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</si>
  <si>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</si>
  <si>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</si>
  <si>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</si>
  <si>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</si>
  <si>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</si>
  <si>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</si>
  <si>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</si>
  <si>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</si>
  <si>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</si>
  <si>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</si>
  <si>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</si>
  <si>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</si>
  <si>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</si>
  <si>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</si>
  <si>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</si>
  <si>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</si>
  <si>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</si>
  <si>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</si>
  <si>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</si>
  <si>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</si>
  <si>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</si>
  <si>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</si>
  <si>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</si>
  <si>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</si>
  <si>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</si>
  <si>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</si>
  <si>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</si>
  <si>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</si>
  <si>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</si>
  <si>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</si>
  <si>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</si>
  <si>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</si>
  <si>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</si>
  <si>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</si>
  <si>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</si>
  <si>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</si>
  <si>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</si>
  <si>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</si>
  <si>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</si>
  <si>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</si>
  <si>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</si>
  <si>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</si>
  <si>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</si>
  <si>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</si>
  <si>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</si>
  <si>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</si>
  <si>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</si>
  <si>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</si>
  <si>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</si>
  <si>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</si>
  <si>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</si>
  <si>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</si>
  <si>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</si>
  <si>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</si>
  <si>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</si>
  <si>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</si>
  <si>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</si>
  <si>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</si>
  <si>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</si>
  <si>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</si>
  <si>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</si>
  <si>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</si>
  <si>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</si>
  <si>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</si>
  <si>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</si>
  <si>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</si>
  <si>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</si>
  <si>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</si>
  <si>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</si>
  <si>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</si>
  <si>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</si>
  <si>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</si>
  <si>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</si>
  <si>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</si>
  <si>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</si>
  <si>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</si>
  <si>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</si>
  <si>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</si>
  <si>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</si>
  <si>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</si>
  <si>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</si>
  <si>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</si>
  <si>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</si>
  <si>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</si>
  <si>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</si>
  <si>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</si>
  <si>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</si>
  <si>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</si>
  <si>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</si>
  <si>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</si>
  <si>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</si>
  <si>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</si>
  <si>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</si>
  <si>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</si>
  <si>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</si>
  <si>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</si>
  <si>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</si>
  <si>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</si>
  <si>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</si>
  <si>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</si>
  <si>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</si>
  <si>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</si>
  <si>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</si>
  <si>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</si>
  <si>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</si>
  <si>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</si>
  <si>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</si>
  <si>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</si>
  <si>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</si>
  <si>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</si>
  <si>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</si>
  <si>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</si>
  <si>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</si>
  <si>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</si>
  <si>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</si>
  <si>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</si>
  <si>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</si>
  <si>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</si>
  <si>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</si>
  <si>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</si>
  <si>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</si>
  <si>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</si>
  <si>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</si>
  <si>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</si>
  <si>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</si>
  <si>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</si>
  <si>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</si>
  <si>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</si>
  <si>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</si>
  <si>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</si>
  <si>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</si>
  <si>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</si>
  <si>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</si>
  <si>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</si>
  <si>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</si>
  <si>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</si>
  <si>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</si>
  <si>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</si>
  <si>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</si>
  <si>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</si>
  <si>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</si>
  <si>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</si>
  <si>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</si>
  <si>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</si>
  <si>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</si>
  <si>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</si>
  <si>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</si>
  <si>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</si>
  <si>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</si>
  <si>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</si>
  <si>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</si>
  <si>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</si>
  <si>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</si>
  <si>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</si>
  <si>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</si>
  <si>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</si>
  <si>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</si>
  <si>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</si>
  <si>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</si>
  <si>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</si>
  <si>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</si>
  <si>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</si>
  <si>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</si>
  <si>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</si>
  <si>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</si>
  <si>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</si>
  <si>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</si>
  <si>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</si>
  <si>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</si>
  <si>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</si>
  <si>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</si>
  <si>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</si>
  <si>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</si>
  <si>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</si>
  <si>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</si>
  <si>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</si>
  <si>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</si>
  <si>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</si>
  <si>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</si>
  <si>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</si>
  <si>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</si>
  <si>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</si>
  <si>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</si>
  <si>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</si>
  <si>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</si>
  <si>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</si>
  <si>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</si>
  <si>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</si>
  <si>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</si>
  <si>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</si>
  <si>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</si>
  <si>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</si>
  <si>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</si>
  <si>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</si>
  <si>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</si>
  <si>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</si>
  <si>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</si>
  <si>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</si>
  <si>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</si>
  <si>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</si>
  <si>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</si>
  <si>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</si>
  <si>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</si>
  <si>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</si>
  <si>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</si>
  <si>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</si>
  <si>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</si>
  <si>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</si>
  <si>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</si>
  <si>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</si>
  <si>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</si>
  <si>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</si>
  <si>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</si>
  <si>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</si>
  <si>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</si>
  <si>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</si>
  <si>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</si>
  <si>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</si>
  <si>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</si>
  <si>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</si>
  <si>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</si>
  <si>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</si>
  <si>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</si>
  <si>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</si>
  <si>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</si>
  <si>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</si>
  <si>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</si>
  <si>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</si>
  <si>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</si>
  <si>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</si>
  <si>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</si>
  <si>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</si>
  <si>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</si>
  <si>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</si>
  <si>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</si>
  <si>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</si>
  <si>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</si>
  <si>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</si>
  <si>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</si>
  <si>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</si>
  <si>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</si>
  <si>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</si>
  <si>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</si>
  <si>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</si>
  <si>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</si>
  <si>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</si>
  <si>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</si>
  <si>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</si>
  <si>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</si>
  <si>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</si>
  <si>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</si>
  <si>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</si>
  <si>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</si>
  <si>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</si>
  <si>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</si>
  <si>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</si>
  <si>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</si>
  <si>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</si>
  <si>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</si>
  <si>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</si>
  <si>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</si>
  <si>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</si>
  <si>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</si>
  <si>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</si>
  <si>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</si>
  <si>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</si>
  <si>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</si>
  <si>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</si>
  <si>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</si>
  <si>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</si>
  <si>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</si>
  <si>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</si>
  <si>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</si>
  <si>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</si>
  <si>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</si>
  <si>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</si>
  <si>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</si>
  <si>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</si>
  <si>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</si>
  <si>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</si>
  <si>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</si>
  <si>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</si>
  <si>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</si>
  <si>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</si>
  <si>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</si>
  <si>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</si>
  <si>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</si>
  <si>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</si>
  <si>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</si>
  <si>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</si>
  <si>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</si>
  <si>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</si>
  <si>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</si>
  <si>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</si>
  <si>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</si>
  <si>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</si>
  <si>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</si>
  <si>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</si>
  <si>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</si>
  <si>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</si>
  <si>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</si>
  <si>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</si>
  <si>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</si>
  <si>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</si>
  <si>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</si>
  <si>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</si>
  <si>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</si>
  <si>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</si>
  <si>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</si>
  <si>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</si>
  <si>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</si>
  <si>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</si>
  <si>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</si>
  <si>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</si>
  <si>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</si>
  <si>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</si>
  <si>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</si>
  <si>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</si>
  <si>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</si>
  <si>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</si>
  <si>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</si>
  <si>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</si>
  <si>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</si>
  <si>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</si>
  <si>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</si>
  <si>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</si>
  <si>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</si>
  <si>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</si>
  <si>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</si>
  <si>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</si>
  <si>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</si>
  <si>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</si>
  <si>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</si>
  <si>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</si>
  <si>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</si>
  <si>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</si>
  <si>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</si>
  <si>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</si>
  <si>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</si>
  <si>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</si>
  <si>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</si>
  <si>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</si>
  <si>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</si>
  <si>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</si>
  <si>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</si>
  <si>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</si>
  <si>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</si>
  <si>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</si>
  <si>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</si>
  <si>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</si>
  <si>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</si>
  <si>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</si>
  <si>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</si>
  <si>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</si>
  <si>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</si>
  <si>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</si>
  <si>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</si>
  <si>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</si>
  <si>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</si>
  <si>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</si>
  <si>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</si>
  <si>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</si>
  <si>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</si>
  <si>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</si>
  <si>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</si>
  <si>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</si>
  <si>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</si>
  <si>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</si>
  <si>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</si>
  <si>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</si>
  <si>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</si>
  <si>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</si>
  <si>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</si>
  <si>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</si>
  <si>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</si>
  <si>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</si>
  <si>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</si>
  <si>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</si>
  <si>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</si>
  <si>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</si>
  <si>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</si>
  <si>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</si>
  <si>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</si>
  <si>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</si>
  <si>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</si>
  <si>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</si>
  <si>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</si>
  <si>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</si>
  <si>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</si>
  <si>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</si>
  <si>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</si>
  <si>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</si>
  <si>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</si>
  <si>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</si>
  <si>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</si>
  <si>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</si>
  <si>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</si>
  <si>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</si>
  <si>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</si>
  <si>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</si>
  <si>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</si>
  <si>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</si>
  <si>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</si>
  <si>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</si>
  <si>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</si>
  <si>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</si>
  <si>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</si>
  <si>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</si>
  <si>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</si>
  <si>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</si>
  <si>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</si>
  <si>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</si>
  <si>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</si>
  <si>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</si>
  <si>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</si>
  <si>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</si>
  <si>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</si>
  <si>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</si>
  <si>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</si>
  <si>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</si>
  <si>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</si>
  <si>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</si>
  <si>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</si>
  <si>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</si>
  <si>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</si>
  <si>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</si>
  <si>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</si>
  <si>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</si>
  <si>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</si>
  <si>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</si>
  <si>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</si>
  <si>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</si>
  <si>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</si>
  <si>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</si>
  <si>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</si>
  <si>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</si>
  <si>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</si>
  <si>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</si>
  <si>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</si>
  <si>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</si>
  <si>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</si>
  <si>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</si>
  <si>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</si>
  <si>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</si>
  <si>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</si>
  <si>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</si>
  <si>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</si>
  <si>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</si>
  <si>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</si>
  <si>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</si>
  <si>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</si>
  <si>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</si>
  <si>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</si>
  <si>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</si>
  <si>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</si>
  <si>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</si>
  <si>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</si>
  <si>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</si>
  <si>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</si>
  <si>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</si>
  <si>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</si>
  <si>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</si>
  <si>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</si>
  <si>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</si>
  <si>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</si>
  <si>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</si>
  <si>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</si>
  <si>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</si>
  <si>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</si>
  <si>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</si>
  <si>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</si>
  <si>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</si>
  <si>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</si>
  <si>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</si>
  <si>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</si>
  <si>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</si>
  <si>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</si>
  <si>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</si>
  <si>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</si>
  <si>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</si>
  <si>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</si>
  <si>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</si>
  <si>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</si>
  <si>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</si>
  <si>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</si>
  <si>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</si>
  <si>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</si>
  <si>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</si>
  <si>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</si>
  <si>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</si>
  <si>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</si>
  <si>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</si>
  <si>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</si>
  <si>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</si>
  <si>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</si>
  <si>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</si>
  <si>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</si>
  <si>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</si>
  <si>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</si>
  <si>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</si>
  <si>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</si>
  <si>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</si>
  <si>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</si>
  <si>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</si>
  <si>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</si>
  <si>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</si>
  <si>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</si>
  <si>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</si>
  <si>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</si>
  <si>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</si>
  <si>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</si>
  <si>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</si>
  <si>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</si>
  <si>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</si>
  <si>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</si>
  <si>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</si>
  <si>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</si>
  <si>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</si>
  <si>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</si>
  <si>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</si>
  <si>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</si>
  <si>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</si>
  <si>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</si>
  <si>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</si>
  <si>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</si>
  <si>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</si>
  <si>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</si>
  <si>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</si>
  <si>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</si>
  <si>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</si>
  <si>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</si>
  <si>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</si>
  <si>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</si>
  <si>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</si>
  <si>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</si>
  <si>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</si>
  <si>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</si>
  <si>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</si>
  <si>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</si>
  <si>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</si>
  <si>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</si>
  <si>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</si>
  <si>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</si>
  <si>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</si>
  <si>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</si>
  <si>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</si>
  <si>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</si>
  <si>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</si>
  <si>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</si>
  <si>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</si>
  <si>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</si>
  <si>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</si>
  <si>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</si>
  <si>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</si>
  <si>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</si>
  <si>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</si>
  <si>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</si>
  <si>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</si>
  <si>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</si>
  <si>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</si>
  <si>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</si>
  <si>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</si>
  <si>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</si>
  <si>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</si>
  <si>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</si>
  <si>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</si>
  <si>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</si>
  <si>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</si>
  <si>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</si>
  <si>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</si>
  <si>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</si>
  <si>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</si>
  <si>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</si>
  <si>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</si>
  <si>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</si>
  <si>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</si>
  <si>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</si>
  <si>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</si>
  <si>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</si>
  <si>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</si>
  <si>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</si>
  <si>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</si>
  <si>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</si>
  <si>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</si>
  <si>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</si>
  <si>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</si>
  <si>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</si>
  <si>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</si>
  <si>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</si>
  <si>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</si>
  <si>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</si>
  <si>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</si>
  <si>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</si>
  <si>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</si>
  <si>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</si>
  <si>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</si>
  <si>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</si>
  <si>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</si>
  <si>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</si>
  <si>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</si>
  <si>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</si>
  <si>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</si>
  <si>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</si>
  <si>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</si>
  <si>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</si>
  <si>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</si>
  <si>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</si>
  <si>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</si>
  <si>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</si>
  <si>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</si>
  <si>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</si>
  <si>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</si>
  <si>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</si>
  <si>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</si>
  <si>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</si>
  <si>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</si>
  <si>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</si>
  <si>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</si>
  <si>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</si>
  <si>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</si>
  <si>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</si>
  <si>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</si>
  <si>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</si>
  <si>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</si>
  <si>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</si>
  <si>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</si>
  <si>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</si>
  <si>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</si>
  <si>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</si>
  <si>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</si>
  <si>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</si>
  <si>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</si>
  <si>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</si>
  <si>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</si>
  <si>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</si>
  <si>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</si>
  <si>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</si>
  <si>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</si>
  <si>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</si>
  <si>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</si>
  <si>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</si>
  <si>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</si>
  <si>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</si>
  <si>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</si>
  <si>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</si>
  <si>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</si>
  <si>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</si>
  <si>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</si>
  <si>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</si>
  <si>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</si>
  <si>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</si>
  <si>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</si>
  <si>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</si>
  <si>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</si>
  <si>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</si>
  <si>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</si>
  <si>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</si>
  <si>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</si>
  <si>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</si>
  <si>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</si>
  <si>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</si>
  <si>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</si>
  <si>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</si>
  <si>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</si>
  <si>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</si>
  <si>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</si>
  <si>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</si>
  <si>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</si>
  <si>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</si>
  <si>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</si>
  <si>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</si>
  <si>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</si>
  <si>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</si>
  <si>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</si>
  <si>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</si>
  <si>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</si>
  <si>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</si>
  <si>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</si>
  <si>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</si>
  <si>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</si>
  <si>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</si>
  <si>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</si>
  <si>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</si>
  <si>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</si>
  <si>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</si>
  <si>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</si>
  <si>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</si>
  <si>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</si>
  <si>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</si>
  <si>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</si>
  <si>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</si>
  <si>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</si>
  <si>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</si>
  <si>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</si>
  <si>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</si>
  <si>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</si>
  <si>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</si>
  <si>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</si>
  <si>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</si>
  <si>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</si>
  <si>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</si>
  <si>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</si>
  <si>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</si>
  <si>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</si>
  <si>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</si>
  <si>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</si>
  <si>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</si>
  <si>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</si>
  <si>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</si>
  <si>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</si>
  <si>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</si>
  <si>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</si>
  <si>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</si>
  <si>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</si>
  <si>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</si>
  <si>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</si>
  <si>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</si>
  <si>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</si>
  <si>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</si>
  <si>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</si>
  <si>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</si>
  <si>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</si>
  <si>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</si>
  <si>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</si>
  <si>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</si>
  <si>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</si>
  <si>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</si>
  <si>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</si>
  <si>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</si>
  <si>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</si>
  <si>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</si>
  <si>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</si>
  <si>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</si>
  <si>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</si>
  <si>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</si>
  <si>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</si>
  <si>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</si>
  <si>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</si>
  <si>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</si>
  <si>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</si>
  <si>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</si>
  <si>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</si>
  <si>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</si>
  <si>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</si>
  <si>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</si>
  <si>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</si>
  <si>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</si>
  <si>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</si>
  <si>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</si>
  <si>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</si>
  <si>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</si>
  <si>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</si>
  <si>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</si>
  <si>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</si>
  <si>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</si>
  <si>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</si>
  <si>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</si>
  <si>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</si>
  <si>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</si>
  <si>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</si>
  <si>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</si>
  <si>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</si>
  <si>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</si>
  <si>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</si>
  <si>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</si>
  <si>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</si>
  <si>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</si>
  <si>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</si>
  <si>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</si>
  <si>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</si>
  <si>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</si>
  <si>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</si>
  <si>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</si>
  <si>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</si>
  <si>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</si>
  <si>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</si>
  <si>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</si>
  <si>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</si>
  <si>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</si>
  <si>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</si>
  <si>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</si>
  <si>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</si>
  <si>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</si>
  <si>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</si>
  <si>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</si>
  <si>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</si>
  <si>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</si>
  <si>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</si>
  <si>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</si>
  <si>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</si>
  <si>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</si>
  <si>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</si>
  <si>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</si>
  <si>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</si>
  <si>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</si>
  <si>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</si>
  <si>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</si>
  <si>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</si>
  <si>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</si>
  <si>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</si>
  <si>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</si>
  <si>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</si>
  <si>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</si>
  <si>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</si>
  <si>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</si>
  <si>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</si>
  <si>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</si>
  <si>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</si>
  <si>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</si>
  <si>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</si>
  <si>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</si>
  <si>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</si>
  <si>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</si>
  <si>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</si>
  <si>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</si>
  <si>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</si>
  <si>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</si>
  <si>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</si>
  <si>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</si>
  <si>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</si>
  <si>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</si>
  <si>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</si>
  <si>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</si>
  <si>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</si>
  <si>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</si>
  <si>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</si>
  <si>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</si>
  <si>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</si>
  <si>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</si>
  <si>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</si>
  <si>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</si>
  <si>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</si>
  <si>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</si>
  <si>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</si>
  <si>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</si>
  <si>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</si>
  <si>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</si>
  <si>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</si>
  <si>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</si>
  <si>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</si>
  <si>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</si>
  <si>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</si>
  <si>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</si>
  <si>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</si>
  <si>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</si>
  <si>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</si>
  <si>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</si>
  <si>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</si>
  <si>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</si>
  <si>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</si>
  <si>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</si>
  <si>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</si>
  <si>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</si>
  <si>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</si>
  <si>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</si>
  <si>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</si>
  <si>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</si>
  <si>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</si>
  <si>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</si>
  <si>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</si>
  <si>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</si>
  <si>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</si>
  <si>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</si>
  <si>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</si>
  <si>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</si>
  <si>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</si>
  <si>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</si>
  <si>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</si>
  <si>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</si>
  <si>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</si>
  <si>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</si>
  <si>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</si>
  <si>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</si>
  <si>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</si>
  <si>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</si>
  <si>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</si>
  <si>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</si>
  <si>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</si>
  <si>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</si>
  <si>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</si>
  <si>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</si>
  <si>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</si>
  <si>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</si>
  <si>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</si>
  <si>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</si>
  <si>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</si>
  <si>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</si>
  <si>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</si>
  <si>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</si>
  <si>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</si>
  <si>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</si>
  <si>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</si>
  <si>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</si>
  <si>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</si>
  <si>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</si>
  <si>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</si>
  <si>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</si>
  <si>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</si>
  <si>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</si>
  <si>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</si>
  <si>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</si>
  <si>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</si>
  <si>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</si>
  <si>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</si>
  <si>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</si>
  <si>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</si>
  <si>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</si>
  <si>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</si>
  <si>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</si>
  <si>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</si>
  <si>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</si>
  <si>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</si>
  <si>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</si>
  <si>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</si>
  <si>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</si>
  <si>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</si>
  <si>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</si>
  <si>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</si>
  <si>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</si>
  <si>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</si>
  <si>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</si>
  <si>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</si>
  <si>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</si>
  <si>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</si>
  <si>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</si>
  <si>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</si>
  <si>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</si>
  <si>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</si>
  <si>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</si>
  <si>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</si>
  <si>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</si>
  <si>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</si>
  <si>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</si>
  <si>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</si>
  <si>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</si>
  <si>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</si>
  <si>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</si>
  <si>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</si>
  <si>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</si>
  <si>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</si>
  <si>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</si>
  <si>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</si>
  <si>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</si>
  <si>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</si>
  <si>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</si>
  <si>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</si>
  <si>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</si>
  <si>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</si>
  <si>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</si>
  <si>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</si>
  <si>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</si>
  <si>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</si>
  <si>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</si>
  <si>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</si>
  <si>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</si>
  <si>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</si>
  <si>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</si>
  <si>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</si>
  <si>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</si>
  <si>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</si>
  <si>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</si>
  <si>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</si>
  <si>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</si>
  <si>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</si>
  <si>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</si>
  <si>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</si>
  <si>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</si>
  <si>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</si>
  <si>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</si>
  <si>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</si>
  <si>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</si>
  <si>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</si>
  <si>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</si>
  <si>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</si>
  <si>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</si>
  <si>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</si>
  <si>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</si>
  <si>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</si>
  <si>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</si>
  <si>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</si>
  <si>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</si>
  <si>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</si>
  <si>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</si>
  <si>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</si>
  <si>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</si>
  <si>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</si>
  <si>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</si>
  <si>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</si>
  <si>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</si>
  <si>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</si>
  <si>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</si>
  <si>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</si>
  <si>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</si>
  <si>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</si>
  <si>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</si>
  <si>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</si>
  <si>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</si>
  <si>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</si>
  <si>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</si>
  <si>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</si>
  <si>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</si>
  <si>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</si>
  <si>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</si>
  <si>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</si>
  <si>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</si>
  <si>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</si>
  <si>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</si>
  <si>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</si>
  <si>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</si>
  <si>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</si>
  <si>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</si>
  <si>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</si>
  <si>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</si>
  <si>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</si>
  <si>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</si>
  <si>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</si>
  <si>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</si>
  <si>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</si>
  <si>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</si>
  <si>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</si>
  <si>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</si>
  <si>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</si>
  <si>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</si>
  <si>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</si>
  <si>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</si>
  <si>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</si>
  <si>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</si>
  <si>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</si>
  <si>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</si>
  <si>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</si>
  <si>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</si>
  <si>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</si>
  <si>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</si>
  <si>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</si>
  <si>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</si>
  <si>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</si>
  <si>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</si>
  <si>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</si>
  <si>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</si>
  <si>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</si>
  <si>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</si>
  <si>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</si>
  <si>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</si>
  <si>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</si>
  <si>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</si>
  <si>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</si>
  <si>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</si>
  <si>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</si>
  <si>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</si>
  <si>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</si>
  <si>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</si>
  <si>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</si>
  <si>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</si>
  <si>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</si>
  <si>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</si>
  <si>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</si>
  <si>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</si>
  <si>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</si>
  <si>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</si>
  <si>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</si>
  <si>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</si>
  <si>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</si>
  <si>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</si>
  <si>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</si>
  <si>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</si>
  <si>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</si>
  <si>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</si>
  <si>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</si>
  <si>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</si>
  <si>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</si>
  <si>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</si>
  <si>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</si>
  <si>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</si>
  <si>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</si>
  <si>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</si>
  <si>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</si>
  <si>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</si>
  <si>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</si>
  <si>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</si>
  <si>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</si>
  <si>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</si>
  <si>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</si>
  <si>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</si>
  <si>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</si>
  <si>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</si>
  <si>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</si>
  <si>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</si>
  <si>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</si>
  <si>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</si>
  <si>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</si>
  <si>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</si>
  <si>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</si>
  <si>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</si>
  <si>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</si>
  <si>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</si>
  <si>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</si>
  <si>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</si>
  <si>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</si>
  <si>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</si>
  <si>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</si>
  <si>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</si>
  <si>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</si>
  <si>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</si>
  <si>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</si>
  <si>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</si>
  <si>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</si>
  <si>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</si>
  <si>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</si>
  <si>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</si>
  <si>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</si>
  <si>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</si>
  <si>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</si>
  <si>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</si>
  <si>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</si>
  <si>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</si>
  <si>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</si>
  <si>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</si>
  <si>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</si>
  <si>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</si>
  <si>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</si>
  <si>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</si>
  <si>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</si>
  <si>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</si>
  <si>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</si>
  <si>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</si>
  <si>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</si>
  <si>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</si>
  <si>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</si>
  <si>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</si>
  <si>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</si>
  <si>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</si>
  <si>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</si>
  <si>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</si>
  <si>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</si>
  <si>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</si>
  <si>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</si>
  <si>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</si>
  <si>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</si>
  <si>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</si>
  <si>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</si>
  <si>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</si>
  <si>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</si>
  <si>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</si>
  <si>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</si>
  <si>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</si>
  <si>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</si>
  <si>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</si>
  <si>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</si>
  <si>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</si>
  <si>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</si>
  <si>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</si>
  <si>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</si>
  <si>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</si>
  <si>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</si>
  <si>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</si>
  <si>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</si>
  <si>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</si>
  <si>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</si>
  <si>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</si>
  <si>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</si>
  <si>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</si>
  <si>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</si>
  <si>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</si>
  <si>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</si>
  <si>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</si>
  <si>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</si>
  <si>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</si>
  <si>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</si>
  <si>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</si>
  <si>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</si>
  <si>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</si>
  <si>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</si>
  <si>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</si>
  <si>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</si>
  <si>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</si>
  <si>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</si>
  <si>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</si>
  <si>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</si>
  <si>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</si>
  <si>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</si>
  <si>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</si>
  <si>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</si>
  <si>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</si>
  <si>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</si>
  <si>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</si>
  <si>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</si>
  <si>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</si>
  <si>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</si>
  <si>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</si>
  <si>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</si>
  <si>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</si>
  <si>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</si>
  <si>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</si>
  <si>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</si>
  <si>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</si>
  <si>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</si>
  <si>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</si>
  <si>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</si>
  <si>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</si>
  <si>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</si>
  <si>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</si>
  <si>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</si>
  <si>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</si>
  <si>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</si>
  <si>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</si>
  <si>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</si>
  <si>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</si>
  <si>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</si>
  <si>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</si>
  <si>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</si>
  <si>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</si>
  <si>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</si>
  <si>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</si>
  <si>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</si>
  <si>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</si>
  <si>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</si>
  <si>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</si>
  <si>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</si>
  <si>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</si>
  <si>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</si>
  <si>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</si>
  <si>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</si>
  <si>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</si>
  <si>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</si>
  <si>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</si>
  <si>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</si>
  <si>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</si>
  <si>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</si>
  <si>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</si>
  <si>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</si>
  <si>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</si>
  <si>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</si>
  <si>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</si>
  <si>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</si>
  <si>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</si>
  <si>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</si>
  <si>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</si>
  <si>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</si>
  <si>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</si>
  <si>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</si>
  <si>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</si>
  <si>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</si>
  <si>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</si>
  <si>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</si>
  <si>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</si>
  <si>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</si>
  <si>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</si>
  <si>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</si>
  <si>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</si>
  <si>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</si>
  <si>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</si>
  <si>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</si>
  <si>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</si>
  <si>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</si>
  <si>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</si>
  <si>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</si>
  <si>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</si>
  <si>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</si>
  <si>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</si>
  <si>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</si>
  <si>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</si>
  <si>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</si>
  <si>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</si>
  <si>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</si>
  <si>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</si>
  <si>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</si>
  <si>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</si>
  <si>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</si>
  <si>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</si>
  <si>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</si>
  <si>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</si>
  <si>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</si>
  <si>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</si>
  <si>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</si>
  <si>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</si>
  <si>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</si>
  <si>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</si>
  <si>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</si>
  <si>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</si>
  <si>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</si>
  <si>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</si>
  <si>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</si>
  <si>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</si>
  <si>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</si>
  <si>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</si>
  <si>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</si>
  <si>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</si>
  <si>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</si>
  <si>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</si>
  <si>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</si>
  <si>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</si>
  <si>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</si>
  <si>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</si>
  <si>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</si>
  <si>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</si>
  <si>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</si>
  <si>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</si>
  <si>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</si>
  <si>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</si>
  <si>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</si>
  <si>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</si>
  <si>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</si>
  <si>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</si>
  <si>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</si>
  <si>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</si>
  <si>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</si>
  <si>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</si>
  <si>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</si>
  <si>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</si>
  <si>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</si>
  <si>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</si>
  <si>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</si>
  <si>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</si>
  <si>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</si>
  <si>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</si>
  <si>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</si>
  <si>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</si>
  <si>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</si>
  <si>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</si>
  <si>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</si>
  <si>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</si>
  <si>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</si>
  <si>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</si>
  <si>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</si>
  <si>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</si>
  <si>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</si>
  <si>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</si>
  <si>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</si>
  <si>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</si>
  <si>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</si>
  <si>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</si>
  <si>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</si>
  <si>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</si>
  <si>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</si>
  <si>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</si>
  <si>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</si>
  <si>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</si>
  <si>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</si>
  <si>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</si>
  <si>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</si>
  <si>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</si>
  <si>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</si>
  <si>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</si>
  <si>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</si>
  <si>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</si>
  <si>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</si>
  <si>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</si>
  <si>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</si>
  <si>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</si>
  <si>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</si>
  <si>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</si>
  <si>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</si>
  <si>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</si>
  <si>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</si>
  <si>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</si>
  <si>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</si>
  <si>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</si>
  <si>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</si>
  <si>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</si>
  <si>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</si>
  <si>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</si>
  <si>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</si>
  <si>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</si>
  <si>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</si>
  <si>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</si>
  <si>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</si>
  <si>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</si>
  <si>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</si>
  <si>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</si>
  <si>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</si>
  <si>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</si>
  <si>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</si>
  <si>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</si>
  <si>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</si>
  <si>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</si>
  <si>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</si>
  <si>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</si>
  <si>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</si>
  <si>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</si>
  <si>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</si>
  <si>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</si>
  <si>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</si>
  <si>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</si>
  <si>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</si>
  <si>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</si>
  <si>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</si>
  <si>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</si>
  <si>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</si>
  <si>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</si>
  <si>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</si>
  <si>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</si>
  <si>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</si>
  <si>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</si>
  <si>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</si>
  <si>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</si>
  <si>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</si>
  <si>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</si>
  <si>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</si>
  <si>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</si>
  <si>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</si>
  <si>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</si>
  <si>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</si>
  <si>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</si>
  <si>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</si>
  <si>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</si>
  <si>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</si>
  <si>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</si>
  <si>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</si>
  <si>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</si>
  <si>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</si>
  <si>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</si>
  <si>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</si>
  <si>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</si>
  <si>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</si>
  <si>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</si>
  <si>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</si>
  <si>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</si>
  <si>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</si>
  <si>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</si>
  <si>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</si>
  <si>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</si>
  <si>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</si>
  <si>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</si>
  <si>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</si>
  <si>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</si>
  <si>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</si>
  <si>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</si>
  <si>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</si>
  <si>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</si>
  <si>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</si>
  <si>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</si>
  <si>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</si>
  <si>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</si>
  <si>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</si>
  <si>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</si>
  <si>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</si>
  <si>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</si>
  <si>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</si>
  <si>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</si>
  <si>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</si>
  <si>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</si>
  <si>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</si>
  <si>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</si>
  <si>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</si>
  <si>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</si>
  <si>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</si>
  <si>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</si>
  <si>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</si>
  <si>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</si>
  <si>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</si>
  <si>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</si>
  <si>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</si>
  <si>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</si>
  <si>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</si>
  <si>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</si>
  <si>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</si>
  <si>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</si>
  <si>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</si>
  <si>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</si>
  <si>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</si>
  <si>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</si>
  <si>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</si>
  <si>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</si>
  <si>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</si>
  <si>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</si>
  <si>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</si>
  <si>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</si>
  <si>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</si>
  <si>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</si>
  <si>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</si>
  <si>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</si>
  <si>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</si>
  <si>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</si>
  <si>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</si>
  <si>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</si>
  <si>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</si>
  <si>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</si>
  <si>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</si>
  <si>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</si>
  <si>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</si>
  <si>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</si>
  <si>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</si>
  <si>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</si>
  <si>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</si>
  <si>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</si>
  <si>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</si>
  <si>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</si>
  <si>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</si>
  <si>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</si>
  <si>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</si>
  <si>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</si>
  <si>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</si>
  <si>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</si>
  <si>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</si>
  <si>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</si>
  <si>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</si>
  <si>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</si>
  <si>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</si>
  <si>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</si>
  <si>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</si>
  <si>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</si>
  <si>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</si>
  <si>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</si>
  <si>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</si>
  <si>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</si>
  <si>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</si>
  <si>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</si>
  <si>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</si>
  <si>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</si>
  <si>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</si>
  <si>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</si>
  <si>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</si>
  <si>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</si>
  <si>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</si>
  <si>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</si>
  <si>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</si>
  <si>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</si>
  <si>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</si>
  <si>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</si>
  <si>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</si>
  <si>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</si>
  <si>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</si>
  <si>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</si>
  <si>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</si>
  <si>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</si>
  <si>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</si>
  <si>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</si>
  <si>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</si>
  <si>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</si>
  <si>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</si>
  <si>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</si>
  <si>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</si>
  <si>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</si>
  <si>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</si>
  <si>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</si>
  <si>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</si>
  <si>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</si>
  <si>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</si>
  <si>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</si>
  <si>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</si>
  <si>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</si>
  <si>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</si>
  <si>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</si>
  <si>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</si>
  <si>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</si>
  <si>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</si>
  <si>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</si>
  <si>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</si>
  <si>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</si>
  <si>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</si>
  <si>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</si>
  <si>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</si>
  <si>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</si>
  <si>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</si>
  <si>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</si>
  <si>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</si>
  <si>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</si>
  <si>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</si>
  <si>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</si>
  <si>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</si>
  <si>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</si>
  <si>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</si>
  <si>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</si>
  <si>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</si>
  <si>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</si>
  <si>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</si>
  <si>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</si>
  <si>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</si>
  <si>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</si>
  <si>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</si>
  <si>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</si>
  <si>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</si>
  <si>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</si>
  <si>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</si>
  <si>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</si>
  <si>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</si>
  <si>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</si>
  <si>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</si>
  <si>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</si>
  <si>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</si>
  <si>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</si>
  <si>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</si>
  <si>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</si>
  <si>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</si>
  <si>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</si>
  <si>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</si>
  <si>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</si>
  <si>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</si>
  <si>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</si>
  <si>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</si>
  <si>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</si>
  <si>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</si>
  <si>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</si>
  <si>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</si>
  <si>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</si>
  <si>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</si>
  <si>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</si>
  <si>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</si>
  <si>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</si>
  <si>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</si>
  <si>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</si>
  <si>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</si>
  <si>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</si>
  <si>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</si>
  <si>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</si>
  <si>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</si>
  <si>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</si>
  <si>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</si>
  <si>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</si>
  <si>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</si>
  <si>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</si>
  <si>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</si>
  <si>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</si>
  <si>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</si>
  <si>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</si>
  <si>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</si>
  <si>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</si>
  <si>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</si>
  <si>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</si>
  <si>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</si>
  <si>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</si>
  <si>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</si>
  <si>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</si>
  <si>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</si>
  <si>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</si>
  <si>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</si>
  <si>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</si>
  <si>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</si>
  <si>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</si>
  <si>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</si>
  <si>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</si>
  <si>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</si>
  <si>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</si>
  <si>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</si>
  <si>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</si>
  <si>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</si>
  <si>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</si>
  <si>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</si>
  <si>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</si>
  <si>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</si>
  <si>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</si>
  <si>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</si>
  <si>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</si>
  <si>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</si>
  <si>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</si>
  <si>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</si>
  <si>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</si>
  <si>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</si>
  <si>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</si>
  <si>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</si>
  <si>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</si>
  <si>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</si>
  <si>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</si>
  <si>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</si>
  <si>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</si>
  <si>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</si>
  <si>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</si>
  <si>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</si>
  <si>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</si>
  <si>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</si>
  <si>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</si>
  <si>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</si>
  <si>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</si>
  <si>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</si>
  <si>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</si>
  <si>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</si>
  <si>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</si>
  <si>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</si>
  <si>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</si>
  <si>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</si>
  <si>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</si>
  <si>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</si>
  <si>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</si>
  <si>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</si>
  <si>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</si>
  <si>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</si>
  <si>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</si>
  <si>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</si>
  <si>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</si>
  <si>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</si>
  <si>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</si>
  <si>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</si>
  <si>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</si>
  <si>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</si>
  <si>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</si>
  <si>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</si>
  <si>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</si>
  <si>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</si>
  <si>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</si>
  <si>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</si>
  <si>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</si>
  <si>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</si>
  <si>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</si>
  <si>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</si>
  <si>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</si>
  <si>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</si>
  <si>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</si>
  <si>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</si>
  <si>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</si>
  <si>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</si>
  <si>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</si>
  <si>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</si>
  <si>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</si>
  <si>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</si>
  <si>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</si>
  <si>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</si>
  <si>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</si>
  <si>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</si>
  <si>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</si>
  <si>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</si>
  <si>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</si>
  <si>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</si>
  <si>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</si>
  <si>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</si>
  <si>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</si>
  <si>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</si>
  <si>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</si>
  <si>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</si>
  <si>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</si>
  <si>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</si>
  <si>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</si>
  <si>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</si>
  <si>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</si>
  <si>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</si>
  <si>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</si>
  <si>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</si>
  <si>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</si>
  <si>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</si>
  <si>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</si>
  <si>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</si>
  <si>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</si>
  <si>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</si>
  <si>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</si>
  <si>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</si>
  <si>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</si>
  <si>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</si>
  <si>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</si>
  <si>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</si>
  <si>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</si>
  <si>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</si>
  <si>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</si>
  <si>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</si>
  <si>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</si>
  <si>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</si>
  <si>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</si>
  <si>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</si>
  <si>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</si>
  <si>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</si>
  <si>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</si>
  <si>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</si>
  <si>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</si>
  <si>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</si>
  <si>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</si>
  <si>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</si>
  <si>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</si>
  <si>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</si>
  <si>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</si>
  <si>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</si>
  <si>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</si>
  <si>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</si>
  <si>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</si>
  <si>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</si>
  <si>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</si>
  <si>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</si>
  <si>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</si>
  <si>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</si>
  <si>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</si>
  <si>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</si>
  <si>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</si>
  <si>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</si>
  <si>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</si>
  <si>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</si>
  <si>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</si>
  <si>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</si>
  <si>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</si>
  <si>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</si>
  <si>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</si>
  <si>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</si>
  <si>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</si>
  <si>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</si>
  <si>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</si>
  <si>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</si>
  <si>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</si>
  <si>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</si>
  <si>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</si>
  <si>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</si>
  <si>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</si>
  <si>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</si>
  <si>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</si>
  <si>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</si>
  <si>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</si>
  <si>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</si>
  <si>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</si>
  <si>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</si>
  <si>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</si>
  <si>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</si>
  <si>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</si>
  <si>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</si>
  <si>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</si>
  <si>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</si>
  <si>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</si>
  <si>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</si>
  <si>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</si>
  <si>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</si>
  <si>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</si>
  <si>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</si>
  <si>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</si>
  <si>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</si>
  <si>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</si>
  <si>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</si>
  <si>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</si>
  <si>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</si>
  <si>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</si>
  <si>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</si>
  <si>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</si>
  <si>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</si>
  <si>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</si>
  <si>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</si>
  <si>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</si>
  <si>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</si>
  <si>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</si>
  <si>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</si>
  <si>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</si>
  <si>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</si>
  <si>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</si>
  <si>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</si>
  <si>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</si>
  <si>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</si>
  <si>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</si>
  <si>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</si>
  <si>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</si>
  <si>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</si>
  <si>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</si>
  <si>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</si>
  <si>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</si>
  <si>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</si>
  <si>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</si>
  <si>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</si>
  <si>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</si>
  <si>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</si>
  <si>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</si>
  <si>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</si>
  <si>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</si>
  <si>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</si>
  <si>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</si>
  <si>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</si>
  <si>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</si>
  <si>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</si>
  <si>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</si>
  <si>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</si>
  <si>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</si>
  <si>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</si>
  <si>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</si>
  <si>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</si>
  <si>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</si>
  <si>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</si>
  <si>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</si>
  <si>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</si>
  <si>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</si>
  <si>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</si>
  <si>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</si>
  <si>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</si>
  <si>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</si>
  <si>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</si>
  <si>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</si>
  <si>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</si>
  <si>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</si>
  <si>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</si>
  <si>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</si>
  <si>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</si>
  <si>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</si>
  <si>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</si>
  <si>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</si>
  <si>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</si>
  <si>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</si>
  <si>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</si>
  <si>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</si>
  <si>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</si>
  <si>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</si>
  <si>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</si>
  <si>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</si>
  <si>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</si>
  <si>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</si>
  <si>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</si>
  <si>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</si>
  <si>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</si>
  <si>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</si>
  <si>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</si>
  <si>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</si>
  <si>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</si>
  <si>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</si>
  <si>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</si>
  <si>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</si>
  <si>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</si>
  <si>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</si>
  <si>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</si>
  <si>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</si>
  <si>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</si>
  <si>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</si>
  <si>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</si>
  <si>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</si>
  <si>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</si>
  <si>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</si>
  <si>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</si>
  <si>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</si>
  <si>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</si>
  <si>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</si>
  <si>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</si>
  <si>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</si>
  <si>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</si>
  <si>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</si>
  <si>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</si>
  <si>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</si>
  <si>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</si>
  <si>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</si>
  <si>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</si>
  <si>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</si>
  <si>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</si>
  <si>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</si>
  <si>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</si>
  <si>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</si>
  <si>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</si>
  <si>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</si>
  <si>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</si>
  <si>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</si>
  <si>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</si>
  <si>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</si>
  <si>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</si>
  <si>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</si>
  <si>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</si>
  <si>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</si>
  <si>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</si>
  <si>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</si>
  <si>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</si>
  <si>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</si>
  <si>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</si>
  <si>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</si>
  <si>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</si>
  <si>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</si>
  <si>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</si>
  <si>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</si>
  <si>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</si>
  <si>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</si>
  <si>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</si>
  <si>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</si>
  <si>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</si>
  <si>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</si>
  <si>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</si>
  <si>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</si>
  <si>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</si>
  <si>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</si>
  <si>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</si>
  <si>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</si>
  <si>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</si>
  <si>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</si>
  <si>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</si>
  <si>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</si>
  <si>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</si>
  <si>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</si>
  <si>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</si>
  <si>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</si>
  <si>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</si>
  <si>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</si>
  <si>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</si>
  <si>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</si>
  <si>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</si>
  <si>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</si>
  <si>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</si>
  <si>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</si>
  <si>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</si>
  <si>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</si>
  <si>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</si>
  <si>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</si>
  <si>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</si>
  <si>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</si>
  <si>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</si>
  <si>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</si>
  <si>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</si>
  <si>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</si>
  <si>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</si>
  <si>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</si>
  <si>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</si>
  <si>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</si>
  <si>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</si>
  <si>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</si>
  <si>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</si>
  <si>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</si>
  <si>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</si>
  <si>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</si>
  <si>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</si>
  <si>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</si>
  <si>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</si>
  <si>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</si>
  <si>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</si>
  <si>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</si>
  <si>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</si>
  <si>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</si>
  <si>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</si>
  <si>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</si>
  <si>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</si>
  <si>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</si>
  <si>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</si>
  <si>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</si>
  <si>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</si>
  <si>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</si>
  <si>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</si>
  <si>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</si>
  <si>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</si>
  <si>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</si>
  <si>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</si>
  <si>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</si>
  <si>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</si>
  <si>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</si>
  <si>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</si>
  <si>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</si>
  <si>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</si>
  <si>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</si>
  <si>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</si>
  <si>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</si>
  <si>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</si>
  <si>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</si>
  <si>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</si>
  <si>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</si>
  <si>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</si>
  <si>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</si>
  <si>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</si>
  <si>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</si>
  <si>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</si>
  <si>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</si>
  <si>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</si>
  <si>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</si>
  <si>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</si>
  <si>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</si>
  <si>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</si>
  <si>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</si>
  <si>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</si>
  <si>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</si>
  <si>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</si>
  <si>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</si>
  <si>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</si>
  <si>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</si>
  <si>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</si>
  <si>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</si>
  <si>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</si>
  <si>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</si>
  <si>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</si>
  <si>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</si>
  <si>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</si>
  <si>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</si>
  <si>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</si>
  <si>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</si>
  <si>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</si>
  <si>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</si>
  <si>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</si>
  <si>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</si>
  <si>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</si>
  <si>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</si>
  <si>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</si>
  <si>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</si>
  <si>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</si>
  <si>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</si>
  <si>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</si>
  <si>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</si>
  <si>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</si>
  <si>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</si>
  <si>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</si>
  <si>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</si>
  <si>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</si>
  <si>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</si>
  <si>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</si>
  <si>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</si>
  <si>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</si>
  <si>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</si>
  <si>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</si>
  <si>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</si>
  <si>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</si>
  <si>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</si>
  <si>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</si>
  <si>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</si>
  <si>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</si>
  <si>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</si>
  <si>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</si>
  <si>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</si>
  <si>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</si>
  <si>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</si>
  <si>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</si>
  <si>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</si>
  <si>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</si>
  <si>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</si>
  <si>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</si>
  <si>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</si>
  <si>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</si>
  <si>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</si>
  <si>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</si>
  <si>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</si>
  <si>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</si>
  <si>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</si>
  <si>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</si>
  <si>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</si>
  <si>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</si>
  <si>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</si>
  <si>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</si>
  <si>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</si>
  <si>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</si>
  <si>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</si>
  <si>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</si>
  <si>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</si>
  <si>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</si>
  <si>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</si>
  <si>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</si>
  <si>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</si>
  <si>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</si>
  <si>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</si>
  <si>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</si>
  <si>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</si>
  <si>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</si>
  <si>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</si>
  <si>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</si>
  <si>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</si>
  <si>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</si>
  <si>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</si>
  <si>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</si>
  <si>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</si>
  <si>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</si>
  <si>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</si>
  <si>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</si>
  <si>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</si>
  <si>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</si>
  <si>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</si>
  <si>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</si>
  <si>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</si>
  <si>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</si>
  <si>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</si>
  <si>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</si>
  <si>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</si>
  <si>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</si>
  <si>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</si>
  <si>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</si>
  <si>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</si>
  <si>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</si>
  <si>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</si>
  <si>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</si>
  <si>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</si>
  <si>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</si>
  <si>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</si>
  <si>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</si>
  <si>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</si>
  <si>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</si>
  <si>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</si>
  <si>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</si>
  <si>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</si>
  <si>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</si>
  <si>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</si>
  <si>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</si>
  <si>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</si>
  <si>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</si>
  <si>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</si>
  <si>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</si>
  <si>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</si>
  <si>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</si>
  <si>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</si>
  <si>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</si>
  <si>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</si>
  <si>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</si>
  <si>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</si>
  <si>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</si>
  <si>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</si>
  <si>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</si>
  <si>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</si>
  <si>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</si>
  <si>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</si>
  <si>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</si>
  <si>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</si>
  <si>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</si>
  <si>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</si>
  <si>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</si>
  <si>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</si>
  <si>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</si>
  <si>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</si>
  <si>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</si>
  <si>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</si>
  <si>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</si>
  <si>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</si>
  <si>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</si>
  <si>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</si>
  <si>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</si>
  <si>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</si>
  <si>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</si>
  <si>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</si>
  <si>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</si>
  <si>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</si>
  <si>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</si>
  <si>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</si>
  <si>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</si>
  <si>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</si>
  <si>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</si>
  <si>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</si>
  <si>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</si>
  <si>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</si>
  <si>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</si>
  <si>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</si>
  <si>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</si>
  <si>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</si>
  <si>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</si>
  <si>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</si>
  <si>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</si>
  <si>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</si>
  <si>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</si>
  <si>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</si>
  <si>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</si>
  <si>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</si>
  <si>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</si>
  <si>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</si>
  <si>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</si>
  <si>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</si>
  <si>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</si>
  <si>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</si>
  <si>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</si>
  <si>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</si>
  <si>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</si>
  <si>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</si>
  <si>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</si>
  <si>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</si>
  <si>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</si>
  <si>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</si>
  <si>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</si>
  <si>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</si>
  <si>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</si>
  <si>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</si>
  <si>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</si>
  <si>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</si>
  <si>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</si>
  <si>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</si>
  <si>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</si>
  <si>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</si>
  <si>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</si>
  <si>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</si>
  <si>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</si>
  <si>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</si>
  <si>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</si>
  <si>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</si>
  <si>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</si>
  <si>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</si>
  <si>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</si>
  <si>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</si>
  <si>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</si>
  <si>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</si>
  <si>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</si>
  <si>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</si>
  <si>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</si>
  <si>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</si>
  <si>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</si>
  <si>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</si>
  <si>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</si>
  <si>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</si>
  <si>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</si>
  <si>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</si>
  <si>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</si>
  <si>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</si>
  <si>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</si>
  <si>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</si>
  <si>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</si>
  <si>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</si>
  <si>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</si>
  <si>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</si>
  <si>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</si>
  <si>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</si>
  <si>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</si>
  <si>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</si>
  <si>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</si>
  <si>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</si>
  <si>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</si>
  <si>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</si>
  <si>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</si>
  <si>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</si>
  <si>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</si>
  <si>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</si>
  <si>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</si>
  <si>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</si>
  <si>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</si>
  <si>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</si>
  <si>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</si>
  <si>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</si>
  <si>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</si>
  <si>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</si>
  <si>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</si>
  <si>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</si>
  <si>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</si>
  <si>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</si>
  <si>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</si>
  <si>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</si>
  <si>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</si>
  <si>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</si>
  <si>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</si>
  <si>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</si>
  <si>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</si>
  <si>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</si>
  <si>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</si>
  <si>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</si>
  <si>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</si>
  <si>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</si>
  <si>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</si>
  <si>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</si>
  <si>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</si>
  <si>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</si>
  <si>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</si>
  <si>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</si>
  <si>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</si>
  <si>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</si>
  <si>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</si>
  <si>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</si>
  <si>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</si>
  <si>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</si>
  <si>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</si>
  <si>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</si>
  <si>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</si>
  <si>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</si>
  <si>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</si>
  <si>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</si>
  <si>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</si>
  <si>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</si>
  <si>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</si>
  <si>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</si>
  <si>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</si>
  <si>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</si>
  <si>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</si>
  <si>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</si>
  <si>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</si>
  <si>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</si>
  <si>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</si>
  <si>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</si>
  <si>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</si>
  <si>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</si>
  <si>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</si>
  <si>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</si>
  <si>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</si>
  <si>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</si>
  <si>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</si>
  <si>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</si>
  <si>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</si>
  <si>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</si>
  <si>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</si>
  <si>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</si>
  <si>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</si>
  <si>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</si>
  <si>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</si>
  <si>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</si>
  <si>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</si>
  <si>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</si>
  <si>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</si>
  <si>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</si>
  <si>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</si>
  <si>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</si>
  <si>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</si>
  <si>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</si>
  <si>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</si>
  <si>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</si>
  <si>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</si>
  <si>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</si>
  <si>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</si>
  <si>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</si>
  <si>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</si>
  <si>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</si>
  <si>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</si>
  <si>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</si>
  <si>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</si>
  <si>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</si>
  <si>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</si>
  <si>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</si>
  <si>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</si>
  <si>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</si>
  <si>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</si>
  <si>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</si>
  <si>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</si>
  <si>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</si>
  <si>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</si>
  <si>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</si>
  <si>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</si>
  <si>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</si>
  <si>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</si>
  <si>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</si>
  <si>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</si>
  <si>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</si>
  <si>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</si>
  <si>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</si>
  <si>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</si>
  <si>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</si>
  <si>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</si>
  <si>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</si>
  <si>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</si>
  <si>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</si>
  <si>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</si>
  <si>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</si>
  <si>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</si>
  <si>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</si>
  <si>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</si>
  <si>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</si>
  <si>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</si>
  <si>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</si>
  <si>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</si>
  <si>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</si>
  <si>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</si>
  <si>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</si>
  <si>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</si>
  <si>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</si>
  <si>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</si>
  <si>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</si>
  <si>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</si>
  <si>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</si>
  <si>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</si>
  <si>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</si>
  <si>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</si>
  <si>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</si>
  <si>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</si>
  <si>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</si>
  <si>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</si>
  <si>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</si>
  <si>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</si>
  <si>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</si>
  <si>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</si>
  <si>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</si>
  <si>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</si>
  <si>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</si>
  <si>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</si>
  <si>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</si>
  <si>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</si>
  <si>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</si>
  <si>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</si>
  <si>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</si>
  <si>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</si>
  <si>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</si>
  <si>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</si>
  <si>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</si>
  <si>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</si>
  <si>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</si>
  <si>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</si>
  <si>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</si>
  <si>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</si>
  <si>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</si>
  <si>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</si>
  <si>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</si>
  <si>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</si>
  <si>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</si>
  <si>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</si>
  <si>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</si>
  <si>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</si>
  <si>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</si>
  <si>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</si>
  <si>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</si>
  <si>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</si>
  <si>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</si>
  <si>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</si>
  <si>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</si>
  <si>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</si>
  <si>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</si>
  <si>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</si>
  <si>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</si>
  <si>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</si>
  <si>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</si>
  <si>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</si>
  <si>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</si>
  <si>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</si>
  <si>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</si>
  <si>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</si>
  <si>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</si>
  <si>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</si>
  <si>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</si>
  <si>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</si>
  <si>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</si>
  <si>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</si>
  <si>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</si>
  <si>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</si>
  <si>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</si>
  <si>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</si>
  <si>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</si>
  <si>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</si>
  <si>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</si>
  <si>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</si>
  <si>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</si>
  <si>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</si>
  <si>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</si>
  <si>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</si>
  <si>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</si>
  <si>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</si>
  <si>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</si>
  <si>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</si>
  <si>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</si>
  <si>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</si>
  <si>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</si>
  <si>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</si>
  <si>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</si>
  <si>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</si>
  <si>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</si>
  <si>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</si>
  <si>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</si>
  <si>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</si>
  <si>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</si>
  <si>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</si>
  <si>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</si>
  <si>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</si>
  <si>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</si>
  <si>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</si>
  <si>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</si>
  <si>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</si>
  <si>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</si>
  <si>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</si>
  <si>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</si>
  <si>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</si>
  <si>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</si>
  <si>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</si>
  <si>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</si>
  <si>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</si>
  <si>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</si>
  <si>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</si>
  <si>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</si>
  <si>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</si>
  <si>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</si>
  <si>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</si>
  <si>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</si>
  <si>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</si>
  <si>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</si>
  <si>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</si>
  <si>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</si>
  <si>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</si>
  <si>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</si>
  <si>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</si>
  <si>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</si>
  <si>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</si>
  <si>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</si>
  <si>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</si>
  <si>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</si>
  <si>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</si>
  <si>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</si>
  <si>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</si>
  <si>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</si>
  <si>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</si>
  <si>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</si>
  <si>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</si>
  <si>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</si>
  <si>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</si>
  <si>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</si>
  <si>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</si>
  <si>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</si>
  <si>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</si>
  <si>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</si>
  <si>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</si>
  <si>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</si>
  <si>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</si>
  <si>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</si>
  <si>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</si>
  <si>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</si>
  <si>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</si>
  <si>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</si>
  <si>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</si>
  <si>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</si>
  <si>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</si>
  <si>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</si>
  <si>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</si>
  <si>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</si>
  <si>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</si>
  <si>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</si>
  <si>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</si>
  <si>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</si>
  <si>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</si>
  <si>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</si>
  <si>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</si>
  <si>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</si>
  <si>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</si>
  <si>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</si>
  <si>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</si>
  <si>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</si>
  <si>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</si>
  <si>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</si>
  <si>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</si>
  <si>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</si>
  <si>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</si>
  <si>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</si>
  <si>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</si>
  <si>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</si>
  <si>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</si>
  <si>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</si>
  <si>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</si>
  <si>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</si>
  <si>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</si>
  <si>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</si>
  <si>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</si>
  <si>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</si>
  <si>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</si>
  <si>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</si>
  <si>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</si>
  <si>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</si>
  <si>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</si>
  <si>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</si>
  <si>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</si>
  <si>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</si>
  <si>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</si>
  <si>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</si>
  <si>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</si>
  <si>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</si>
  <si>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</si>
  <si>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</si>
  <si>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</si>
  <si>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</si>
  <si>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</si>
  <si>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</si>
  <si>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</si>
  <si>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</si>
  <si>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</si>
  <si>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</si>
  <si>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</si>
  <si>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</si>
  <si>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</si>
  <si>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</si>
  <si>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</si>
  <si>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</si>
  <si>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</si>
  <si>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</si>
  <si>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</si>
  <si>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</si>
  <si>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</si>
  <si>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</si>
  <si>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</si>
  <si>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</si>
  <si>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</si>
  <si>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</si>
  <si>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</si>
  <si>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</si>
  <si>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</si>
  <si>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</si>
  <si>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</si>
  <si>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</si>
  <si>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</si>
  <si>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</si>
  <si>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</si>
  <si>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</si>
  <si>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</si>
  <si>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</si>
  <si>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</si>
  <si>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</si>
  <si>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</si>
  <si>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</si>
  <si>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</si>
  <si>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</si>
  <si>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</si>
  <si>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</si>
  <si>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</si>
  <si>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</si>
  <si>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</si>
  <si>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</si>
  <si>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</si>
  <si>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</si>
  <si>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</si>
  <si>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</si>
  <si>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</si>
  <si>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</si>
  <si>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</si>
  <si>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</si>
  <si>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</si>
  <si>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</si>
  <si>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</si>
  <si>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</si>
  <si>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</si>
  <si>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</si>
  <si>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</si>
  <si>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</si>
  <si>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</si>
  <si>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</si>
  <si>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</si>
  <si>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</si>
  <si>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</si>
  <si>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</si>
  <si>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</si>
  <si>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</si>
  <si>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</si>
  <si>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</si>
  <si>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</si>
  <si>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</si>
  <si>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</si>
  <si>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</si>
  <si>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</si>
  <si>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</si>
  <si>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</si>
  <si>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</si>
  <si>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</si>
  <si>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</si>
  <si>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</si>
  <si>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</si>
  <si>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</si>
  <si>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</si>
  <si>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</si>
  <si>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</si>
  <si>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</si>
  <si>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</si>
  <si>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</si>
  <si>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</si>
  <si>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</si>
  <si>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</si>
  <si>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</si>
  <si>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</si>
  <si>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</si>
  <si>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</si>
  <si>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</si>
  <si>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</si>
  <si>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</si>
  <si>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</si>
  <si>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</si>
  <si>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</si>
  <si>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</si>
  <si>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</si>
  <si>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</si>
  <si>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</si>
  <si>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</si>
  <si>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</si>
  <si>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</si>
  <si>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</si>
  <si>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</si>
  <si>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</si>
  <si>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</si>
  <si>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</si>
  <si>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</si>
  <si>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</si>
  <si>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</si>
  <si>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</si>
  <si>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</si>
  <si>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</si>
  <si>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</si>
  <si>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</si>
  <si>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</si>
  <si>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</si>
  <si>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</si>
  <si>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</si>
  <si>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</si>
  <si>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</si>
  <si>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</si>
  <si>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</si>
  <si>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</si>
  <si>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</si>
  <si>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</si>
  <si>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</si>
  <si>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</si>
  <si>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</si>
  <si>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</si>
  <si>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</si>
  <si>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</si>
  <si>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</si>
  <si>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</si>
  <si>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</si>
  <si>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</si>
  <si>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</si>
  <si>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</si>
  <si>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</si>
  <si>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</si>
  <si>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</si>
  <si>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</si>
  <si>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</si>
  <si>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</si>
  <si>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</si>
  <si>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</si>
  <si>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</si>
  <si>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</si>
  <si>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</si>
  <si>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</si>
  <si>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</si>
  <si>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</si>
  <si>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</si>
  <si>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</si>
  <si>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</si>
  <si>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</si>
  <si>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</si>
  <si>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</si>
  <si>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</si>
  <si>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</si>
  <si>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</si>
  <si>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</si>
  <si>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</si>
  <si>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</si>
  <si>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</si>
  <si>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</si>
  <si>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</si>
  <si>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</si>
  <si>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</si>
  <si>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</si>
  <si>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</si>
  <si>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</si>
  <si>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</si>
  <si>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</si>
  <si>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</si>
  <si>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</si>
  <si>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</si>
  <si>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</si>
  <si>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</si>
  <si>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</si>
  <si>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</si>
  <si>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</si>
  <si>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</si>
  <si>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</si>
  <si>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</si>
  <si>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</si>
  <si>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</si>
  <si>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</si>
  <si>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</si>
  <si>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</si>
  <si>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</si>
  <si>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</si>
  <si>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</si>
  <si>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</si>
  <si>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</si>
  <si>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</si>
  <si>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</si>
  <si>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</si>
  <si>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</si>
  <si>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</si>
  <si>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</si>
  <si>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</si>
  <si>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</si>
  <si>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</si>
  <si>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</si>
  <si>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</si>
  <si>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</si>
  <si>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</si>
  <si>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</si>
  <si>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</si>
  <si>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</si>
  <si>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</si>
  <si>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</si>
  <si>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</si>
  <si>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</si>
  <si>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</si>
  <si>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</si>
  <si>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</si>
  <si>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</si>
  <si>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</si>
  <si>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</si>
  <si>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</si>
  <si>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</si>
  <si>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</si>
  <si>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</si>
  <si>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</si>
  <si>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</si>
  <si>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</si>
  <si>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</si>
  <si>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</si>
  <si>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</si>
  <si>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</si>
  <si>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</si>
  <si>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</si>
  <si>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</si>
  <si>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</si>
  <si>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</si>
  <si>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</si>
  <si>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</si>
  <si>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</si>
  <si>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</si>
  <si>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</si>
  <si>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</si>
  <si>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</si>
  <si>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</si>
  <si>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</si>
  <si>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</si>
  <si>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</si>
  <si>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</si>
  <si>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</si>
  <si>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</si>
  <si>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</si>
  <si>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</si>
  <si>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</si>
  <si>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</si>
  <si>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</si>
  <si>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</si>
  <si>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</si>
  <si>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</si>
  <si>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</si>
  <si>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</si>
  <si>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</si>
  <si>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</si>
  <si>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</si>
  <si>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</si>
  <si>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</si>
  <si>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</si>
  <si>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</si>
  <si>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</si>
  <si>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</si>
  <si>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</si>
  <si>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</si>
  <si>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</si>
  <si>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</si>
  <si>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</si>
  <si>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</si>
  <si>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</si>
  <si>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</si>
  <si>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</si>
  <si>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</si>
  <si>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</si>
  <si>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</si>
  <si>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</si>
  <si>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</si>
  <si>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</si>
  <si>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</si>
  <si>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</si>
  <si>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</si>
  <si>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</si>
  <si>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</si>
  <si>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</si>
  <si>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</si>
  <si>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</si>
  <si>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</si>
  <si>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</si>
  <si>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</si>
  <si>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</si>
  <si>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</si>
  <si>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</si>
  <si>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</si>
  <si>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</si>
  <si>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</si>
  <si>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</si>
  <si>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</si>
  <si>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</si>
  <si>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</si>
  <si>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</si>
  <si>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</si>
  <si>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</si>
  <si>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</si>
  <si>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</si>
  <si>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</si>
  <si>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</si>
  <si>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</si>
  <si>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</si>
  <si>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</si>
  <si>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</si>
  <si>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</si>
  <si>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</si>
  <si>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</si>
  <si>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</si>
  <si>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</si>
  <si>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</si>
  <si>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</si>
  <si>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</si>
  <si>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</si>
  <si>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</si>
  <si>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</si>
  <si>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</si>
  <si>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</si>
  <si>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</si>
  <si>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</si>
  <si>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</si>
  <si>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</si>
  <si>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</si>
  <si>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</si>
  <si>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</si>
  <si>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</si>
  <si>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</si>
  <si>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</si>
  <si>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</si>
  <si>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</si>
  <si>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</si>
  <si>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</si>
  <si>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</si>
  <si>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</si>
  <si>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</si>
  <si>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</si>
  <si>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</si>
  <si>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</si>
  <si>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</si>
  <si>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</si>
  <si>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</si>
  <si>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</si>
  <si>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</si>
  <si>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</si>
  <si>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</si>
  <si>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</si>
  <si>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</si>
  <si>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</si>
  <si>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</si>
  <si>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</si>
  <si>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</si>
  <si>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</si>
  <si>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</si>
  <si>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</si>
  <si>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</si>
  <si>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</si>
  <si>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</si>
  <si>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</si>
  <si>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</si>
  <si>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</si>
  <si>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</si>
  <si>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</si>
  <si>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</si>
  <si>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</si>
  <si>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</si>
  <si>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</si>
  <si>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</si>
  <si>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</si>
  <si>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</si>
  <si>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</si>
  <si>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</si>
  <si>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</si>
  <si>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</si>
  <si>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</si>
  <si>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</si>
  <si>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</si>
  <si>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</si>
  <si>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</si>
  <si>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</si>
  <si>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</si>
  <si>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</si>
  <si>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</si>
  <si>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</si>
  <si>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</si>
  <si>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</si>
  <si>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</si>
  <si>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</si>
  <si>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</si>
  <si>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</si>
  <si>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</si>
  <si>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</si>
  <si>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</si>
  <si>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</si>
  <si>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</si>
  <si>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</si>
  <si>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</si>
  <si>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</si>
  <si>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</si>
  <si>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</si>
  <si>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</si>
  <si>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</si>
  <si>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</si>
  <si>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</si>
  <si>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</si>
  <si>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</si>
  <si>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</si>
  <si>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</si>
  <si>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</si>
  <si>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</si>
  <si>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</si>
  <si>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</si>
  <si>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</si>
  <si>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</si>
  <si>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</si>
  <si>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</si>
  <si>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</si>
  <si>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</si>
  <si>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</si>
  <si>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</si>
  <si>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</si>
  <si>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</si>
  <si>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</si>
  <si>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</si>
  <si>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</si>
  <si>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</si>
  <si>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</si>
  <si>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</si>
  <si>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</si>
  <si>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</si>
  <si>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</si>
  <si>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</si>
  <si>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</si>
  <si>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</si>
  <si>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</si>
  <si>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</si>
  <si>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</si>
  <si>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</si>
  <si>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</si>
  <si>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</si>
  <si>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</si>
  <si>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</si>
  <si>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</si>
  <si>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</si>
  <si>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</si>
  <si>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</si>
  <si>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</si>
  <si>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</si>
  <si>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</si>
  <si>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</si>
  <si>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</si>
  <si>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</si>
  <si>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</si>
  <si>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</si>
  <si>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</si>
  <si>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</si>
  <si>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</si>
  <si>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</si>
  <si>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</si>
  <si>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</si>
  <si>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</si>
  <si>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</si>
  <si>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</si>
  <si>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</si>
  <si>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</si>
  <si>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</si>
  <si>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</si>
  <si>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</si>
  <si>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</si>
  <si>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</si>
  <si>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</si>
  <si>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</si>
  <si>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</si>
  <si>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</si>
  <si>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</si>
  <si>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</si>
  <si>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</si>
  <si>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</si>
  <si>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</si>
  <si>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</si>
  <si>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</si>
  <si>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</si>
  <si>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</si>
  <si>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</si>
  <si>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</si>
  <si>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</si>
  <si>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</si>
  <si>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</si>
  <si>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</si>
  <si>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</si>
  <si>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</si>
  <si>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</si>
  <si>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</si>
  <si>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</si>
  <si>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</si>
  <si>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</si>
  <si>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</si>
  <si>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</si>
  <si>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</si>
  <si>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</si>
  <si>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</si>
  <si>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</si>
  <si>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</si>
  <si>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</si>
  <si>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</si>
  <si>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</si>
  <si>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</si>
  <si>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</si>
  <si>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</si>
  <si>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</si>
  <si>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</si>
  <si>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</si>
  <si>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</si>
  <si>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</si>
  <si>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</si>
  <si>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</si>
  <si>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</si>
  <si>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</si>
  <si>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</si>
  <si>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</si>
  <si>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</si>
  <si>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</si>
  <si>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</si>
  <si>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</si>
  <si>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</si>
  <si>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</si>
  <si>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</si>
  <si>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</si>
  <si>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</si>
  <si>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</si>
  <si>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</si>
  <si>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</si>
  <si>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</si>
  <si>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</si>
  <si>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</si>
  <si>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</si>
  <si>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</si>
  <si>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</si>
  <si>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</si>
  <si>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</si>
  <si>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</si>
  <si>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</si>
  <si>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</si>
  <si>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</si>
  <si>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</si>
  <si>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</si>
  <si>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</si>
  <si>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</si>
  <si>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</si>
  <si>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</si>
  <si>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</si>
  <si>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</si>
  <si>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</si>
  <si>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</si>
  <si>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</si>
  <si>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</si>
  <si>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</si>
  <si>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</si>
  <si>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</si>
  <si>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</si>
  <si>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</si>
  <si>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</si>
  <si>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</si>
  <si>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</si>
  <si>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</si>
  <si>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</si>
  <si>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</si>
  <si>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</si>
  <si>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</si>
  <si>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</si>
  <si>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</si>
  <si>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</si>
  <si>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</si>
  <si>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</si>
  <si>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</si>
  <si>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</si>
  <si>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</si>
  <si>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</si>
  <si>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</si>
  <si>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</si>
  <si>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</si>
  <si>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</si>
  <si>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</si>
  <si>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</si>
  <si>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</si>
  <si>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</si>
  <si>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</si>
  <si>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</si>
  <si>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</si>
  <si>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</si>
  <si>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</si>
  <si>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</si>
  <si>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</si>
  <si>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</si>
  <si>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</si>
  <si>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</si>
  <si>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</si>
  <si>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</si>
  <si>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</si>
  <si>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</si>
  <si>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</si>
  <si>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</si>
  <si>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</si>
  <si>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</si>
  <si>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</si>
  <si>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</si>
  <si>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</si>
  <si>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</si>
  <si>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</si>
  <si>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</si>
  <si>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</si>
  <si>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</si>
  <si>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</si>
  <si>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</si>
  <si>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</si>
  <si>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</si>
  <si>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</si>
  <si>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</si>
  <si>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</si>
  <si>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</si>
  <si>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</si>
  <si>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</si>
  <si>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</si>
  <si>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</si>
  <si>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</si>
  <si>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</si>
  <si>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</si>
  <si>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</si>
  <si>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</si>
  <si>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</si>
  <si>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</si>
  <si>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</si>
  <si>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</si>
  <si>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</si>
  <si>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</si>
  <si>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</si>
  <si>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</si>
  <si>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</si>
  <si>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</si>
  <si>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</si>
  <si>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</si>
  <si>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</si>
  <si>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</si>
  <si>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</si>
  <si>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</si>
  <si>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</si>
  <si>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</si>
  <si>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</si>
  <si>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</si>
  <si>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</si>
  <si>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</si>
  <si>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</si>
  <si>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</si>
  <si>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</si>
  <si>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</si>
  <si>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</si>
  <si>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</si>
  <si>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</si>
  <si>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</si>
  <si>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</si>
  <si>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</si>
  <si>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</si>
  <si>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</si>
  <si>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</si>
  <si>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</si>
  <si>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</si>
  <si>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</si>
  <si>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</si>
  <si>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</si>
  <si>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</si>
  <si>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</si>
  <si>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</si>
  <si>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</si>
  <si>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</si>
  <si>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</si>
  <si>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</si>
  <si>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</si>
  <si>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</si>
  <si>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</si>
  <si>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</si>
  <si>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</si>
  <si>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</si>
  <si>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</si>
  <si>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</si>
  <si>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</si>
  <si>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</si>
  <si>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</si>
  <si>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</si>
  <si>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</si>
  <si>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</si>
  <si>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</si>
  <si>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</si>
  <si>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</si>
  <si>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</si>
  <si>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</si>
  <si>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</si>
  <si>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</si>
  <si>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</si>
  <si>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</si>
  <si>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</si>
  <si>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</si>
  <si>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</si>
  <si>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</si>
  <si>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</si>
  <si>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</si>
  <si>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</si>
  <si>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</si>
  <si>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</si>
  <si>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</si>
  <si>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</si>
  <si>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</si>
  <si>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</si>
  <si>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</si>
  <si>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</si>
  <si>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</si>
  <si>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</si>
  <si>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</si>
  <si>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</si>
  <si>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</si>
  <si>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</si>
  <si>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</si>
  <si>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</si>
  <si>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</si>
  <si>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</si>
  <si>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</si>
  <si>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</si>
  <si>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</si>
  <si>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</si>
  <si>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</si>
  <si>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</si>
  <si>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</si>
  <si>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</si>
  <si>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</si>
  <si>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</si>
  <si>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</si>
  <si>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</si>
  <si>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</si>
  <si>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</si>
  <si>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</si>
  <si>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</si>
  <si>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</si>
  <si>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</si>
  <si>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</si>
  <si>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</si>
  <si>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</si>
  <si>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</si>
  <si>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</si>
  <si>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</si>
  <si>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</si>
  <si>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</si>
  <si>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</si>
  <si>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</si>
  <si>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</si>
  <si>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</si>
  <si>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</si>
  <si>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</si>
  <si>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</si>
  <si>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</si>
  <si>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</si>
  <si>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</si>
  <si>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</si>
  <si>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</si>
  <si>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</si>
  <si>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</si>
  <si>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</si>
  <si>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</si>
  <si>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</si>
  <si>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</si>
  <si>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</si>
  <si>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</si>
  <si>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</si>
  <si>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</si>
  <si>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</si>
  <si>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</si>
  <si>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</si>
  <si>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</si>
  <si>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</si>
  <si>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</si>
  <si>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</si>
  <si>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</si>
  <si>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</si>
  <si>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</si>
  <si>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</si>
  <si>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</si>
  <si>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</si>
  <si>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</si>
  <si>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</si>
  <si>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</si>
  <si>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</si>
  <si>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</si>
  <si>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</si>
  <si>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</si>
  <si>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</si>
  <si>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</si>
  <si>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</si>
  <si>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</si>
  <si>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</si>
  <si>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</si>
  <si>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</si>
  <si>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</si>
  <si>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</si>
  <si>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</si>
  <si>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</si>
  <si>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</si>
  <si>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</si>
  <si>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</si>
  <si>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</si>
  <si>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</si>
  <si>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</si>
  <si>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</si>
  <si>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</si>
  <si>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</si>
  <si>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</si>
  <si>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</si>
  <si>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</si>
  <si>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</si>
  <si>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</si>
  <si>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</si>
  <si>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</si>
  <si>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</si>
  <si>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</si>
  <si>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</si>
  <si>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</si>
  <si>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</si>
  <si>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</si>
  <si>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</si>
  <si>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</si>
  <si>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</si>
  <si>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</si>
  <si>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</si>
  <si>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</si>
  <si>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</si>
  <si>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</si>
  <si>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</si>
  <si>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</si>
  <si>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</si>
  <si>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</si>
  <si>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</si>
  <si>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</si>
  <si>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</si>
  <si>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</si>
  <si>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</si>
  <si>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</si>
  <si>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</si>
  <si>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</si>
  <si>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</si>
  <si>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</si>
  <si>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</si>
  <si>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</si>
  <si>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</si>
  <si>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</si>
  <si>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</si>
  <si>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</si>
  <si>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</si>
  <si>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</si>
  <si>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</si>
  <si>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</si>
  <si>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</si>
  <si>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</si>
  <si>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</si>
  <si>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</si>
  <si>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</si>
  <si>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</si>
  <si>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</si>
  <si>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</si>
  <si>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</si>
  <si>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</si>
  <si>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</si>
  <si>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</si>
  <si>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</si>
  <si>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</si>
  <si>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</si>
  <si>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</si>
  <si>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</si>
  <si>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</si>
  <si>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</si>
  <si>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</si>
  <si>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</si>
  <si>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</si>
  <si>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</si>
  <si>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</si>
  <si>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</si>
  <si>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</si>
  <si>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</si>
  <si>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</si>
  <si>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</si>
  <si>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</si>
  <si>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</si>
  <si>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</si>
  <si>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</si>
  <si>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</si>
  <si>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</si>
  <si>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</si>
  <si>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</si>
  <si>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</si>
  <si>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</si>
  <si>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</si>
  <si>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</si>
  <si>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</si>
  <si>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</si>
  <si>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</si>
  <si>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</si>
  <si>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</si>
  <si>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</si>
  <si>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</si>
  <si>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</si>
  <si>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</si>
  <si>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</si>
  <si>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</si>
  <si>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</si>
  <si>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</si>
  <si>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</si>
  <si>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</si>
  <si>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</si>
  <si>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</si>
  <si>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</si>
  <si>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</si>
  <si>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</si>
  <si>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</si>
  <si>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</si>
  <si>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</si>
  <si>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</si>
  <si>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</si>
  <si>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</si>
  <si>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</si>
  <si>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</si>
  <si>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</si>
  <si>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</si>
  <si>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</si>
  <si>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</si>
  <si>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</si>
  <si>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</si>
  <si>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</si>
  <si>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</si>
  <si>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</si>
  <si>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</si>
  <si>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</si>
  <si>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</si>
  <si>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</si>
  <si>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</si>
  <si>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</si>
  <si>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</si>
  <si>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</si>
  <si>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</si>
  <si>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</si>
  <si>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</si>
  <si>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</si>
  <si>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</si>
  <si>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</si>
  <si>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</si>
  <si>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</si>
  <si>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</si>
  <si>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</si>
  <si>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</si>
  <si>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</si>
  <si>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</si>
  <si>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</si>
  <si>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</si>
  <si>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</si>
  <si>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</si>
  <si>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</si>
  <si>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</si>
  <si>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</si>
  <si>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</si>
  <si>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</si>
  <si>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</si>
  <si>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</si>
  <si>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</si>
  <si>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</si>
  <si>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</si>
  <si>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</si>
  <si>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</si>
  <si>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</si>
  <si>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</si>
  <si>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</si>
  <si>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</si>
  <si>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</si>
  <si>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</si>
  <si>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</si>
  <si>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</si>
  <si>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</si>
  <si>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</si>
  <si>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</si>
  <si>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</si>
  <si>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</si>
  <si>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</si>
  <si>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</si>
  <si>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</si>
  <si>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</si>
  <si>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</si>
  <si>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</si>
  <si>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</si>
  <si>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</si>
  <si>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</si>
  <si>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</si>
  <si>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</si>
  <si>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</si>
  <si>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</si>
  <si>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</si>
  <si>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</si>
  <si>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</si>
  <si>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</si>
  <si>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</si>
  <si>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</si>
  <si>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</si>
  <si>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</si>
  <si>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</si>
  <si>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</si>
  <si>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</si>
  <si>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</si>
  <si>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</si>
  <si>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</si>
  <si>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</si>
  <si>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</si>
  <si>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</si>
  <si>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</si>
  <si>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</si>
  <si>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</si>
  <si>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</si>
  <si>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</si>
  <si>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</si>
  <si>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</si>
  <si>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</si>
  <si>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</si>
  <si>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</si>
  <si>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</si>
  <si>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</si>
  <si>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</si>
  <si>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</si>
  <si>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</si>
  <si>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</si>
  <si>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</si>
  <si>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</si>
  <si>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</si>
  <si>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</si>
  <si>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</si>
  <si>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</si>
  <si>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</si>
  <si>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</si>
  <si>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</si>
  <si>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</si>
  <si>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</si>
  <si>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</si>
  <si>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</si>
  <si>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</si>
  <si>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</si>
  <si>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</si>
  <si>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</si>
  <si>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</si>
  <si>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</si>
  <si>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</si>
  <si>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</si>
  <si>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</si>
  <si>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</si>
  <si>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</si>
  <si>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</si>
  <si>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</si>
  <si>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</si>
  <si>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</si>
  <si>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</si>
  <si>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</si>
  <si>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</si>
  <si>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</si>
  <si>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</si>
  <si>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</si>
  <si>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</si>
  <si>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</si>
  <si>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</si>
  <si>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</si>
  <si>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</si>
  <si>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</si>
  <si>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</si>
  <si>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</si>
  <si>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</si>
  <si>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</si>
  <si>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</si>
  <si>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</si>
  <si>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</si>
  <si>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</si>
  <si>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</si>
  <si>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</si>
  <si>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</si>
  <si>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</si>
  <si>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</si>
  <si>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</si>
  <si>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</si>
  <si>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</si>
  <si>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</si>
  <si>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</si>
  <si>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</si>
  <si>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</si>
  <si>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</si>
  <si>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</si>
  <si>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</si>
  <si>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</si>
  <si>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</si>
  <si>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</si>
  <si>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</si>
  <si>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</si>
  <si>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</si>
  <si>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</si>
  <si>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</si>
  <si>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</si>
  <si>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</si>
  <si>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</si>
  <si>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</si>
  <si>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</si>
  <si>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</si>
  <si>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</si>
  <si>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</si>
  <si>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</si>
  <si>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</si>
  <si>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</si>
  <si>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</si>
  <si>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</si>
  <si>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</si>
  <si>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</si>
  <si>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</si>
  <si>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</si>
  <si>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</si>
  <si>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</si>
  <si>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</si>
  <si>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</si>
  <si>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</si>
  <si>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</si>
  <si>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</si>
  <si>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</si>
  <si>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</si>
  <si>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</si>
  <si>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</si>
  <si>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</si>
  <si>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</si>
  <si>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</si>
  <si>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</si>
  <si>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</si>
  <si>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</si>
  <si>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</si>
  <si>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</si>
  <si>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</si>
  <si>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</si>
  <si>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</si>
  <si>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</si>
  <si>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</si>
  <si>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</si>
  <si>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</si>
  <si>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</si>
  <si>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</si>
  <si>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</si>
  <si>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</si>
  <si>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</si>
  <si>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</si>
  <si>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</si>
  <si>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</si>
  <si>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</si>
  <si>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</si>
  <si>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</si>
  <si>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</si>
  <si>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</si>
  <si>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</si>
  <si>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</si>
  <si>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</si>
  <si>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</si>
  <si>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</si>
  <si>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</si>
  <si>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</si>
  <si>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</si>
  <si>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</si>
  <si>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</si>
  <si>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</si>
  <si>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</si>
  <si>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</si>
  <si>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</si>
  <si>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</si>
  <si>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</si>
  <si>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</si>
  <si>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</si>
  <si>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</si>
  <si>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</si>
  <si>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</si>
  <si>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</si>
  <si>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</si>
  <si>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</si>
  <si>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</si>
  <si>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</si>
  <si>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</si>
  <si>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</si>
  <si>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</si>
  <si>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</si>
  <si>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</si>
  <si>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</si>
  <si>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</si>
  <si>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</si>
  <si>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</si>
  <si>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</si>
  <si>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</si>
  <si>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</si>
  <si>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</si>
  <si>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</si>
  <si>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</si>
  <si>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</si>
  <si>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</si>
  <si>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</si>
  <si>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</si>
  <si>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</si>
  <si>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</si>
  <si>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</si>
  <si>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</si>
  <si>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</si>
  <si>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</si>
  <si>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</si>
  <si>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</si>
  <si>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</si>
  <si>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</si>
  <si>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</si>
  <si>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</si>
  <si>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</si>
  <si>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</si>
  <si>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</si>
  <si>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</si>
  <si>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</si>
  <si>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</si>
  <si>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</si>
  <si>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</si>
  <si>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</si>
  <si>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</si>
  <si>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</si>
  <si>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</si>
  <si>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</si>
  <si>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</si>
  <si>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</si>
  <si>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</si>
  <si>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</si>
  <si>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</si>
  <si>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</si>
  <si>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</si>
  <si>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</si>
  <si>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</si>
  <si>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</si>
  <si>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</si>
  <si>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</si>
  <si>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</si>
  <si>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</si>
  <si>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</si>
  <si>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</si>
  <si>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</si>
  <si>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</si>
  <si>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</si>
  <si>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</si>
  <si>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</si>
  <si>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</si>
  <si>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</si>
  <si>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</si>
  <si>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</si>
  <si>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</si>
  <si>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</si>
  <si>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</si>
  <si>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</si>
  <si>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</si>
  <si>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</si>
  <si>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</si>
  <si>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</si>
  <si>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</si>
  <si>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</si>
  <si>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</si>
  <si>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</si>
  <si>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</si>
  <si>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</si>
  <si>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</si>
  <si>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</si>
  <si>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</si>
  <si>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</si>
  <si>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</si>
  <si>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</si>
  <si>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</si>
  <si>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</si>
  <si>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</si>
  <si>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</si>
  <si>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</si>
  <si>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</si>
  <si>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</si>
  <si>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</si>
  <si>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</si>
  <si>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</si>
  <si>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</si>
  <si>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</si>
  <si>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</si>
  <si>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</si>
  <si>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</si>
  <si>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</si>
  <si>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</si>
  <si>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</si>
  <si>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</si>
  <si>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</si>
  <si>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</si>
  <si>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</si>
  <si>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</si>
  <si>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</si>
  <si>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</si>
  <si>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</si>
  <si>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</si>
  <si>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</si>
  <si>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</si>
  <si>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</si>
  <si>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</si>
  <si>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</si>
  <si>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</si>
  <si>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</si>
  <si>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</si>
  <si>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</si>
  <si>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</si>
  <si>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</si>
  <si>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</si>
  <si>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</si>
  <si>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</si>
  <si>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</si>
  <si>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</si>
  <si>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</si>
  <si>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</si>
  <si>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</si>
  <si>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</si>
  <si>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</si>
  <si>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</si>
  <si>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</si>
  <si>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</si>
  <si>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</si>
  <si>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</si>
  <si>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</si>
  <si>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</si>
  <si>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</si>
  <si>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</si>
  <si>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</si>
  <si>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</si>
  <si>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</si>
  <si>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</si>
  <si>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</si>
  <si>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</si>
  <si>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</si>
  <si>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</si>
  <si>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</si>
  <si>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</si>
  <si>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</si>
  <si>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</si>
  <si>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</si>
  <si>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</si>
  <si>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</si>
  <si>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</si>
  <si>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</si>
  <si>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</si>
  <si>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</si>
  <si>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</si>
  <si>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</si>
  <si>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</si>
  <si>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</si>
  <si>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</si>
  <si>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</si>
  <si>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</si>
  <si>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</si>
  <si>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</si>
  <si>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</si>
  <si>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</si>
  <si>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</si>
  <si>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</si>
  <si>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</si>
  <si>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</si>
  <si>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</si>
  <si>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</si>
  <si>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</si>
  <si>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</si>
  <si>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</si>
  <si>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</si>
  <si>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</si>
  <si>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</si>
  <si>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</si>
  <si>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</si>
  <si>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</si>
  <si>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</si>
  <si>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</si>
  <si>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</si>
  <si>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</si>
  <si>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</si>
  <si>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</si>
  <si>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</si>
  <si>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</si>
  <si>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</si>
  <si>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</si>
  <si>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</si>
  <si>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</si>
  <si>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</si>
  <si>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</si>
  <si>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</si>
  <si>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</si>
  <si>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</si>
  <si>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</si>
  <si>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</si>
  <si>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</si>
  <si>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</si>
  <si>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</si>
  <si>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</si>
  <si>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</si>
  <si>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</si>
  <si>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</si>
  <si>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</si>
  <si>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</si>
  <si>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</si>
  <si>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</si>
  <si>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</si>
  <si>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</si>
  <si>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</si>
  <si>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</si>
  <si>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</si>
  <si>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</si>
  <si>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</si>
  <si>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</si>
  <si>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</si>
  <si>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</si>
  <si>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</si>
  <si>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</si>
  <si>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</si>
  <si>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</si>
  <si>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</si>
  <si>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</si>
  <si>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</si>
  <si>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</si>
  <si>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</si>
  <si>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</si>
  <si>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</si>
  <si>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</si>
  <si>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</si>
  <si>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</si>
  <si>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</si>
  <si>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</si>
  <si>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</si>
  <si>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</si>
  <si>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</si>
  <si>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</si>
  <si>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</si>
  <si>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</si>
  <si>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</si>
  <si>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</si>
  <si>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</si>
  <si>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</si>
  <si>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</si>
  <si>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</si>
  <si>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</si>
  <si>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</si>
  <si>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</si>
  <si>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</si>
  <si>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</si>
  <si>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</si>
  <si>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</si>
  <si>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</si>
  <si>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</si>
  <si>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</si>
  <si>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</si>
  <si>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</si>
  <si>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</si>
  <si>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</si>
  <si>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</si>
  <si>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</si>
  <si>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</si>
  <si>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</si>
  <si>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</si>
  <si>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</si>
  <si>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</si>
  <si>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</si>
  <si>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</si>
  <si>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</si>
  <si>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</si>
  <si>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</si>
  <si>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</si>
  <si>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</si>
  <si>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</si>
  <si>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</si>
  <si>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</si>
  <si>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</si>
  <si>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</si>
  <si>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</si>
  <si>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</si>
  <si>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</si>
  <si>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</si>
  <si>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</si>
  <si>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</si>
  <si>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</si>
  <si>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</si>
  <si>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</si>
  <si>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</si>
  <si>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</si>
  <si>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</si>
  <si>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</si>
  <si>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</si>
  <si>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</si>
  <si>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</si>
  <si>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</si>
  <si>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</si>
  <si>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</si>
  <si>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</si>
  <si>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</si>
  <si>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</si>
  <si>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</si>
  <si>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</si>
  <si>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</si>
  <si>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</si>
  <si>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</si>
  <si>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</si>
  <si>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</si>
  <si>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</si>
  <si>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</si>
  <si>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</si>
  <si>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</si>
  <si>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</si>
  <si>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</si>
  <si>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</si>
  <si>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</si>
  <si>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</si>
  <si>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</si>
  <si>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</si>
  <si>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</si>
  <si>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</si>
  <si>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</si>
  <si>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</si>
  <si>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</si>
  <si>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</si>
  <si>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</si>
  <si>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</si>
  <si>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</si>
  <si>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</si>
  <si>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</si>
  <si>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</si>
  <si>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</si>
  <si>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</si>
  <si>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</si>
  <si>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</si>
  <si>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</si>
  <si>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</si>
  <si>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</si>
  <si>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</si>
  <si>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</si>
  <si>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</si>
  <si>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</si>
  <si>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</si>
  <si>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</si>
  <si>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</si>
  <si>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</si>
  <si>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</si>
  <si>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</si>
  <si>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</si>
  <si>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</si>
  <si>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</si>
  <si>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</si>
  <si>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</si>
  <si>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</si>
  <si>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</si>
  <si>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</si>
  <si>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</si>
  <si>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</si>
  <si>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</si>
  <si>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</si>
  <si>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</si>
  <si>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</si>
  <si>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</si>
  <si>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</si>
  <si>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</si>
  <si>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</si>
  <si>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</si>
  <si>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</si>
  <si>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</si>
  <si>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</si>
  <si>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</si>
  <si>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</si>
  <si>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</si>
  <si>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</si>
  <si>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</si>
  <si>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</si>
  <si>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</si>
  <si>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</si>
  <si>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</si>
  <si>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</si>
  <si>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</si>
  <si>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</si>
  <si>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</si>
  <si>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</si>
  <si>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</si>
  <si>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</si>
  <si>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</si>
  <si>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</si>
  <si>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</si>
  <si>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</si>
  <si>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</si>
  <si>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</si>
  <si>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</si>
  <si>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</si>
  <si>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</si>
  <si>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</si>
  <si>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</si>
  <si>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</si>
  <si>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</si>
  <si>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</si>
  <si>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</si>
  <si>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</si>
  <si>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</si>
  <si>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</si>
  <si>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</si>
  <si>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</si>
  <si>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</si>
  <si>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</si>
  <si>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</si>
  <si>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</si>
  <si>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</si>
  <si>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</si>
  <si>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</si>
  <si>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</si>
  <si>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</si>
  <si>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</si>
  <si>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</si>
  <si>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</si>
  <si>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</si>
  <si>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</si>
  <si>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</si>
  <si>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</si>
  <si>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</si>
  <si>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</si>
  <si>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</si>
  <si>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</si>
  <si>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</si>
  <si>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</si>
  <si>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</si>
  <si>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</si>
  <si>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</si>
  <si>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</si>
  <si>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</si>
  <si>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</si>
  <si>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</si>
  <si>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</si>
  <si>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</si>
  <si>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</si>
  <si>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</si>
  <si>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</si>
  <si>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</si>
  <si>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</si>
  <si>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</si>
  <si>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</si>
  <si>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</si>
  <si>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</si>
  <si>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</si>
  <si>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</si>
  <si>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</si>
  <si>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</si>
  <si>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</si>
  <si>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</si>
  <si>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</si>
  <si>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</si>
  <si>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</si>
  <si>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</si>
  <si>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</si>
  <si>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</si>
  <si>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</si>
  <si>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</si>
  <si>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</si>
  <si>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</si>
  <si>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</si>
  <si>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</si>
  <si>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</si>
  <si>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</si>
  <si>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</si>
  <si>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</si>
  <si>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</si>
  <si>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</si>
  <si>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</si>
  <si>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</si>
  <si>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</si>
  <si>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</si>
  <si>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</si>
  <si>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</si>
  <si>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</si>
  <si>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</si>
  <si>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</si>
  <si>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</si>
  <si>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</si>
  <si>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</si>
  <si>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</si>
  <si>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</si>
  <si>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</si>
  <si>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</si>
  <si>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</si>
  <si>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</si>
  <si>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</si>
  <si>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</si>
  <si>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</si>
  <si>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</si>
  <si>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</si>
  <si>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</si>
  <si>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</si>
  <si>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</si>
  <si>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</si>
  <si>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</si>
  <si>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</si>
  <si>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</si>
  <si>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</si>
  <si>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</si>
  <si>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</si>
  <si>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</si>
  <si>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</si>
  <si>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</si>
  <si>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</si>
  <si>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</si>
  <si>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</si>
  <si>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</si>
  <si>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</si>
  <si>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</si>
  <si>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</si>
  <si>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</si>
  <si>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</si>
  <si>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</si>
  <si>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</si>
  <si>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</si>
  <si>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</si>
  <si>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</si>
  <si>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</si>
  <si>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</si>
  <si>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</si>
  <si>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</si>
  <si>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</si>
  <si>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</si>
  <si>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</si>
  <si>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</si>
  <si>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</si>
  <si>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</si>
  <si>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</si>
  <si>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</si>
  <si>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</si>
  <si>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</si>
  <si>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</si>
  <si>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</si>
  <si>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</si>
  <si>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</si>
  <si>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</si>
  <si>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</si>
  <si>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</si>
  <si>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</si>
  <si>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</si>
  <si>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</si>
  <si>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</si>
  <si>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</si>
  <si>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</si>
  <si>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</si>
  <si>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</si>
  <si>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</si>
  <si>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</si>
  <si>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</si>
  <si>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</si>
  <si>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</si>
  <si>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</si>
  <si>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</si>
  <si>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</si>
  <si>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</si>
  <si>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</si>
  <si>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</si>
  <si>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</si>
  <si>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</si>
  <si>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</si>
  <si>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</si>
  <si>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</si>
  <si>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</si>
  <si>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</si>
  <si>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</si>
  <si>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</si>
  <si>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</si>
  <si>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</si>
  <si>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</si>
  <si>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</si>
  <si>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</si>
  <si>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</si>
  <si>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</si>
  <si>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</si>
  <si>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</si>
  <si>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</si>
  <si>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</si>
  <si>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</si>
  <si>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</si>
  <si>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</si>
  <si>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</si>
  <si>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</si>
  <si>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</si>
  <si>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</si>
  <si>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</si>
  <si>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</si>
  <si>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</si>
  <si>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</si>
  <si>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</si>
  <si>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</si>
  <si>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</si>
  <si>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</si>
  <si>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</si>
  <si>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</si>
  <si>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</si>
  <si>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</si>
  <si>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</si>
  <si>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</si>
  <si>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</si>
  <si>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</si>
  <si>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</si>
  <si>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</si>
  <si>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</si>
  <si>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</si>
  <si>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</si>
  <si>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</si>
  <si>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</si>
  <si>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</si>
  <si>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</si>
  <si>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</si>
  <si>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</si>
  <si>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</si>
  <si>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</si>
  <si>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</si>
  <si>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</si>
  <si>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</si>
  <si>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</si>
  <si>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</si>
  <si>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</si>
  <si>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</si>
  <si>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</si>
  <si>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</si>
  <si>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</si>
  <si>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</si>
  <si>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</si>
  <si>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</si>
  <si>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</si>
  <si>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</si>
  <si>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</si>
  <si>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</si>
  <si>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</si>
  <si>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</si>
  <si>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</si>
  <si>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</si>
  <si>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</si>
  <si>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</si>
  <si>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</si>
  <si>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</si>
  <si>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</si>
  <si>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</si>
  <si>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</si>
  <si>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</si>
  <si>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</si>
  <si>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</si>
  <si>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</si>
  <si>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</si>
  <si>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</si>
  <si>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</si>
  <si>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</si>
  <si>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</si>
  <si>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</si>
  <si>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</si>
  <si>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</si>
  <si>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</si>
  <si>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</si>
  <si>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</si>
  <si>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</si>
  <si>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</si>
  <si>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</si>
  <si>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</si>
  <si>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</si>
  <si>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</si>
  <si>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</si>
  <si>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</si>
  <si>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</si>
  <si>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</si>
  <si>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</si>
  <si>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</si>
  <si>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</si>
  <si>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</si>
  <si>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</si>
  <si>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</si>
  <si>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</si>
  <si>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</si>
  <si>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</si>
  <si>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</si>
  <si>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</si>
  <si>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</si>
  <si>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</si>
  <si>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</si>
  <si>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</si>
  <si>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</si>
  <si>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</si>
  <si>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</si>
  <si>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</si>
  <si>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</si>
  <si>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</si>
  <si>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</si>
  <si>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</si>
  <si>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</si>
  <si>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</si>
  <si>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</si>
  <si>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</si>
  <si>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</si>
  <si>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</si>
  <si>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</si>
  <si>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</si>
  <si>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</si>
  <si>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</si>
  <si>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</si>
  <si>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</si>
  <si>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</si>
  <si>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</si>
  <si>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</si>
  <si>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</si>
  <si>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</si>
  <si>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</si>
  <si>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</si>
  <si>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</si>
  <si>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</si>
  <si>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</si>
  <si>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</si>
  <si>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</si>
  <si>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</si>
  <si>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</si>
  <si>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</si>
  <si>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</si>
  <si>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</si>
  <si>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</si>
  <si>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</si>
  <si>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</si>
  <si>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</si>
  <si>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</si>
  <si>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</si>
  <si>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</si>
  <si>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</si>
  <si>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</si>
  <si>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</si>
  <si>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</si>
  <si>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</si>
  <si>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</si>
  <si>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</si>
  <si>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</si>
  <si>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</si>
  <si>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</si>
  <si>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</si>
  <si>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</si>
  <si>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</si>
  <si>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</si>
  <si>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</si>
  <si>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</si>
  <si>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</si>
  <si>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</si>
  <si>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</si>
  <si>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</si>
  <si>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</si>
  <si>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</si>
  <si>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</si>
  <si>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</si>
  <si>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</si>
  <si>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</si>
  <si>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</si>
  <si>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</si>
  <si>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</si>
  <si>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</si>
  <si>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</si>
  <si>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</si>
  <si>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</si>
  <si>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</si>
  <si>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</si>
  <si>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</si>
  <si>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</si>
  <si>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</si>
  <si>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</si>
  <si>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</si>
  <si>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</si>
  <si>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</si>
  <si>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</si>
  <si>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</si>
  <si>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</si>
  <si>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</si>
  <si>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</si>
  <si>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</si>
  <si>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</si>
  <si>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</si>
  <si>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</si>
  <si>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</si>
  <si>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</si>
  <si>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</si>
  <si>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</si>
  <si>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</si>
  <si>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</si>
  <si>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</si>
  <si>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</si>
  <si>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</si>
  <si>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</si>
  <si>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</si>
  <si>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</si>
  <si>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</si>
  <si>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</si>
  <si>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</si>
  <si>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</si>
  <si>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</si>
  <si>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</si>
  <si>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</si>
  <si>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</si>
  <si>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</si>
  <si>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</si>
  <si>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</si>
  <si>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</si>
  <si>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</si>
  <si>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</si>
  <si>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</si>
  <si>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</si>
  <si>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</si>
  <si>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</si>
  <si>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</si>
  <si>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</si>
  <si>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</si>
  <si>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</si>
  <si>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</si>
  <si>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</si>
  <si>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</si>
  <si>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</si>
  <si>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</si>
  <si>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</si>
  <si>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</si>
  <si>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</si>
  <si>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</si>
  <si>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</si>
  <si>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</si>
  <si>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</si>
  <si>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</si>
  <si>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</si>
  <si>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</si>
  <si>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</si>
  <si>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</si>
  <si>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</si>
  <si>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</si>
  <si>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</si>
  <si>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</si>
  <si>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</si>
  <si>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</si>
  <si>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</si>
  <si>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</si>
  <si>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</si>
  <si>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</si>
  <si>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</si>
  <si>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</si>
  <si>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</si>
  <si>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</si>
  <si>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</si>
  <si>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</si>
  <si>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</si>
  <si>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</si>
  <si>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</si>
  <si>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</si>
  <si>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</si>
  <si>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</si>
  <si>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</si>
  <si>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</si>
  <si>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</si>
  <si>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</si>
  <si>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</si>
  <si>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</si>
  <si>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</si>
  <si>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</si>
  <si>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</si>
  <si>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</si>
  <si>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</si>
  <si>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</si>
  <si>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</si>
  <si>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</si>
  <si>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</si>
  <si>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</si>
  <si>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</si>
  <si>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</si>
  <si>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</si>
  <si>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</si>
  <si>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</si>
  <si>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</si>
  <si>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</si>
  <si>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</si>
  <si>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</si>
  <si>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</si>
  <si>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</si>
  <si>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</si>
  <si>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</si>
  <si>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</si>
  <si>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</si>
  <si>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</si>
  <si>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</si>
  <si>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</si>
  <si>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</si>
  <si>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</si>
  <si>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</si>
  <si>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</si>
  <si>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</si>
  <si>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</si>
  <si>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</si>
  <si>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</si>
  <si>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</si>
  <si>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</si>
  <si>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</si>
  <si>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</si>
  <si>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</si>
  <si>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</si>
  <si>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</si>
  <si>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</si>
  <si>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</si>
  <si>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</si>
  <si>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</si>
  <si>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</si>
  <si>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</si>
  <si>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</si>
  <si>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</si>
  <si>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</si>
  <si>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</si>
  <si>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</si>
  <si>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</si>
  <si>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</si>
  <si>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</si>
  <si>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</si>
  <si>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</si>
  <si>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</si>
  <si>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</si>
  <si>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</si>
  <si>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</si>
  <si>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</si>
  <si>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</si>
  <si>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</si>
  <si>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</si>
  <si>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</si>
  <si>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</si>
  <si>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</si>
  <si>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</si>
  <si>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</si>
  <si>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</si>
  <si>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</si>
  <si>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</si>
  <si>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</si>
  <si>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</si>
  <si>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</si>
  <si>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</si>
  <si>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</si>
  <si>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</si>
  <si>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</si>
  <si>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</si>
  <si>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</si>
  <si>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</si>
  <si>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</si>
  <si>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</si>
  <si>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</si>
  <si>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</si>
  <si>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</si>
  <si>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</si>
  <si>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</si>
  <si>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</si>
  <si>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</si>
  <si>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</si>
  <si>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</si>
  <si>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</si>
  <si>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</si>
  <si>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</si>
  <si>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</si>
  <si>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</si>
  <si>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</si>
  <si>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</si>
  <si>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</si>
  <si>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</si>
  <si>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</si>
  <si>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</si>
  <si>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</si>
  <si>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</si>
  <si>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</si>
  <si>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</si>
  <si>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</si>
  <si>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</si>
  <si>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</si>
  <si>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</si>
  <si>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</si>
  <si>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</si>
  <si>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</si>
  <si>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</si>
  <si>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</si>
  <si>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</si>
  <si>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</si>
  <si>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</si>
  <si>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</si>
  <si>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</si>
  <si>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</si>
  <si>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</si>
  <si>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</si>
  <si>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</si>
  <si>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</si>
  <si>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</si>
  <si>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</si>
  <si>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</si>
  <si>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</si>
  <si>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</si>
  <si>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</si>
  <si>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</si>
  <si>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</si>
  <si>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</si>
  <si>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</si>
  <si>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</si>
  <si>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</si>
  <si>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</si>
  <si>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</si>
  <si>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</si>
  <si>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</si>
  <si>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</si>
  <si>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</si>
  <si>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</si>
  <si>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</si>
  <si>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</si>
  <si>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</si>
  <si>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</si>
  <si>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</si>
  <si>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</si>
  <si>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</si>
  <si>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</si>
  <si>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</si>
  <si>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</si>
  <si>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</si>
  <si>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</si>
  <si>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</si>
  <si>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</si>
  <si>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</si>
  <si>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</si>
  <si>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</si>
  <si>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</si>
  <si>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</si>
  <si>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</si>
  <si>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</si>
  <si>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</si>
  <si>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</si>
  <si>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</si>
  <si>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</si>
  <si>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</si>
  <si>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</si>
  <si>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</si>
  <si>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</si>
  <si>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</si>
  <si>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</si>
  <si>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</si>
  <si>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</si>
  <si>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</si>
  <si>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</si>
  <si>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</si>
  <si>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</si>
  <si>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</si>
  <si>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</si>
  <si>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</si>
  <si>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</si>
  <si>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</si>
  <si>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</si>
  <si>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</si>
  <si>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</si>
  <si>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</si>
  <si>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</si>
  <si>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</si>
  <si>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</si>
  <si>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</si>
  <si>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</si>
  <si>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</si>
  <si>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</si>
  <si>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</si>
  <si>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</si>
  <si>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</si>
  <si>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</si>
  <si>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</si>
  <si>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</si>
  <si>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</si>
  <si>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</si>
  <si>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</si>
  <si>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</si>
  <si>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</si>
  <si>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</si>
  <si>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</si>
  <si>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</si>
  <si>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</si>
  <si>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</si>
  <si>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</si>
  <si>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</si>
  <si>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</si>
  <si>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</si>
  <si>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</si>
  <si>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</si>
  <si>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</si>
  <si>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</si>
  <si>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</si>
  <si>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</si>
  <si>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</si>
  <si>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</si>
  <si>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</si>
  <si>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</si>
  <si>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</si>
  <si>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</si>
  <si>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</si>
  <si>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</si>
  <si>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</si>
  <si>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</si>
  <si>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</si>
  <si>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</si>
  <si>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</si>
  <si>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</si>
  <si>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</si>
  <si>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</si>
  <si>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</si>
  <si>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</si>
  <si>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</si>
  <si>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</si>
  <si>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</si>
  <si>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</si>
  <si>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</si>
  <si>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</si>
  <si>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</si>
  <si>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</si>
  <si>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</si>
  <si>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</si>
  <si>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</si>
  <si>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</si>
  <si>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</si>
  <si>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</si>
  <si>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</si>
  <si>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</si>
  <si>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</si>
  <si>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</si>
  <si>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</si>
  <si>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</si>
  <si>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</si>
  <si>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</si>
  <si>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</si>
  <si>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</si>
  <si>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</si>
  <si>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</si>
  <si>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</si>
  <si>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</si>
  <si>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</si>
  <si>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</si>
  <si>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</si>
  <si>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</si>
  <si>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</si>
  <si>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</si>
  <si>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</si>
  <si>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</si>
  <si>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</si>
  <si>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</si>
  <si>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</si>
  <si>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</si>
  <si>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</si>
  <si>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</si>
  <si>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</si>
  <si>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</si>
  <si>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</si>
  <si>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</si>
  <si>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</si>
  <si>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</si>
  <si>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</si>
  <si>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</si>
  <si>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</si>
  <si>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</si>
  <si>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</si>
  <si>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</si>
  <si>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</si>
  <si>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</si>
  <si>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</si>
  <si>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</si>
  <si>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</si>
  <si>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</si>
  <si>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</si>
  <si>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</si>
  <si>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</si>
  <si>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</si>
  <si>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</si>
  <si>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</si>
  <si>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</si>
  <si>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</si>
  <si>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</si>
  <si>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</si>
  <si>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</si>
  <si>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</si>
  <si>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</si>
  <si>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</si>
  <si>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</si>
  <si>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</si>
  <si>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</si>
  <si>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</si>
  <si>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</si>
  <si>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</si>
  <si>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</si>
  <si>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</si>
  <si>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</si>
  <si>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</si>
  <si>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</si>
  <si>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</si>
  <si>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</si>
  <si>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</si>
  <si>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</si>
  <si>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</si>
  <si>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</si>
  <si>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</si>
  <si>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</si>
  <si>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</si>
  <si>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</si>
  <si>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</si>
  <si>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</si>
  <si>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</si>
  <si>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</si>
  <si>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</si>
  <si>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</si>
  <si>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</si>
  <si>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</si>
  <si>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</si>
  <si>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</si>
  <si>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</si>
  <si>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</si>
  <si>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</si>
  <si>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</si>
  <si>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</si>
  <si>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</si>
  <si>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</si>
  <si>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</si>
  <si>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</si>
  <si>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</si>
  <si>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</si>
  <si>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</si>
  <si>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</si>
  <si>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</si>
  <si>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</si>
  <si>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</si>
  <si>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</si>
  <si>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</si>
  <si>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</si>
  <si>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</si>
  <si>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</si>
  <si>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</si>
  <si>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</si>
  <si>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</si>
  <si>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</si>
  <si>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</si>
  <si>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</si>
  <si>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</si>
  <si>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</si>
  <si>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</si>
  <si>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</si>
  <si>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</si>
  <si>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</si>
  <si>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</si>
  <si>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</si>
  <si>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</si>
  <si>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</si>
  <si>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</si>
  <si>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</si>
  <si>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</si>
  <si>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</si>
  <si>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</si>
  <si>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</si>
  <si>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</si>
  <si>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</si>
  <si>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</si>
  <si>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</si>
  <si>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</si>
  <si>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</si>
  <si>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</si>
  <si>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</si>
  <si>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</si>
  <si>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</si>
  <si>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</si>
  <si>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</si>
  <si>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</si>
  <si>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</si>
  <si>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</si>
  <si>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</si>
  <si>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</si>
  <si>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</si>
  <si>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</si>
  <si>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</si>
  <si>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</si>
  <si>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</si>
  <si>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</si>
  <si>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</si>
  <si>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</si>
  <si>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</si>
  <si>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</si>
  <si>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</si>
  <si>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</si>
  <si>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</si>
  <si>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</si>
  <si>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</si>
  <si>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</si>
  <si>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</si>
  <si>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</si>
  <si>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</si>
  <si>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</si>
  <si>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</si>
  <si>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</si>
  <si>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</si>
  <si>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</si>
  <si>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</si>
  <si>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</si>
  <si>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</si>
  <si>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</si>
  <si>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</si>
  <si>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</si>
  <si>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</si>
  <si>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</si>
  <si>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</si>
  <si>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</si>
  <si>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</si>
  <si>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</si>
  <si>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</si>
  <si>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</si>
  <si>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</si>
  <si>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</si>
  <si>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</si>
  <si>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</si>
  <si>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</si>
  <si>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</si>
  <si>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</si>
  <si>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</si>
  <si>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</si>
  <si>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</si>
  <si>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</si>
  <si>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</si>
  <si>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</si>
  <si>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</si>
  <si>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</si>
  <si>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</si>
  <si>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</si>
  <si>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</si>
  <si>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</si>
  <si>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</si>
  <si>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</si>
  <si>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</si>
  <si>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</si>
  <si>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</si>
  <si>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</si>
  <si>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</si>
  <si>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</si>
  <si>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</si>
  <si>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</si>
  <si>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</si>
  <si>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</si>
  <si>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</si>
  <si>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</si>
  <si>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</si>
  <si>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</si>
  <si>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</si>
  <si>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</si>
  <si>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</si>
  <si>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</si>
  <si>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</si>
  <si>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</si>
  <si>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</si>
  <si>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</si>
  <si>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</si>
  <si>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</si>
  <si>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</si>
  <si>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</si>
  <si>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</si>
  <si>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</si>
  <si>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</si>
  <si>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</si>
  <si>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</si>
  <si>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</si>
  <si>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</si>
  <si>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</si>
  <si>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</si>
  <si>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</si>
  <si>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</si>
  <si>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</si>
  <si>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</si>
  <si>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</si>
  <si>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</si>
  <si>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</si>
  <si>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</si>
  <si>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</si>
  <si>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</si>
  <si>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</si>
  <si>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</si>
  <si>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</si>
  <si>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</si>
  <si>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</si>
  <si>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</si>
  <si>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</si>
  <si>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</si>
  <si>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</si>
  <si>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</si>
  <si>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</si>
  <si>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</si>
  <si>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</si>
  <si>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</si>
  <si>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</si>
  <si>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</si>
  <si>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</si>
  <si>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</si>
  <si>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</si>
  <si>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</si>
  <si>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</si>
  <si>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</si>
  <si>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</si>
  <si>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</si>
  <si>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</si>
  <si>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</si>
  <si>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</si>
  <si>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</si>
  <si>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</si>
  <si>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</si>
  <si>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</si>
  <si>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</si>
  <si>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</si>
  <si>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</si>
  <si>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</si>
  <si>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</si>
  <si>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</si>
  <si>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</si>
  <si>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</si>
  <si>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</si>
  <si>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</si>
  <si>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</si>
  <si>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</si>
  <si>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</si>
  <si>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</si>
  <si>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</si>
  <si>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</si>
  <si>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</si>
  <si>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</si>
  <si>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</si>
  <si>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</si>
  <si>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</si>
  <si>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</si>
  <si>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</si>
  <si>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</si>
  <si>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</si>
  <si>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</si>
  <si>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</si>
  <si>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</si>
  <si>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</si>
  <si>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</si>
  <si>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</si>
  <si>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</si>
  <si>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</si>
  <si>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</si>
  <si>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</si>
  <si>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</si>
  <si>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</si>
  <si>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</si>
  <si>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</si>
  <si>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</si>
  <si>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</si>
  <si>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</si>
  <si>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</si>
  <si>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</si>
  <si>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</si>
  <si>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</si>
  <si>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</si>
  <si>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</si>
  <si>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</si>
  <si>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</si>
  <si>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</si>
  <si>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</si>
  <si>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</si>
  <si>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</si>
  <si>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</si>
  <si>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</si>
  <si>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</si>
  <si>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</si>
  <si>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</si>
  <si>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</si>
  <si>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</si>
  <si>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</si>
  <si>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</si>
  <si>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</si>
  <si>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</si>
  <si>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</si>
  <si>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</si>
  <si>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</si>
  <si>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</si>
  <si>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</si>
  <si>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</si>
  <si>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</si>
  <si>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</si>
  <si>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</si>
  <si>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</si>
  <si>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</si>
  <si>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</si>
  <si>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</si>
  <si>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</si>
  <si>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</si>
  <si>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</si>
  <si>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</si>
  <si>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</si>
  <si>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</si>
  <si>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</si>
  <si>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</si>
  <si>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</si>
  <si>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</si>
  <si>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</si>
  <si>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</si>
  <si>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</si>
  <si>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</si>
  <si>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</si>
  <si>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</si>
  <si>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</si>
  <si>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</si>
  <si>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</si>
  <si>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</si>
  <si>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</si>
  <si>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</si>
  <si>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</si>
  <si>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</si>
  <si>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</si>
  <si>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</si>
  <si>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</si>
  <si>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</si>
  <si>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</si>
  <si>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</si>
  <si>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</si>
  <si>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</si>
  <si>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</si>
  <si>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</si>
  <si>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</si>
  <si>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</si>
  <si>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</si>
  <si>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</si>
  <si>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</si>
  <si>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</si>
  <si>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</si>
  <si>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</si>
  <si>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</si>
  <si>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</si>
  <si>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</si>
  <si>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</si>
  <si>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</si>
  <si>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</si>
  <si>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</si>
  <si>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</si>
  <si>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</si>
  <si>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</si>
  <si>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</si>
  <si>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</si>
  <si>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</si>
  <si>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</si>
  <si>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</si>
  <si>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</si>
  <si>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</si>
  <si>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</si>
  <si>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</si>
  <si>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</si>
  <si>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</si>
  <si>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</si>
  <si>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</si>
  <si>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</si>
  <si>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</si>
  <si>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</si>
  <si>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</si>
  <si>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</si>
  <si>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</si>
  <si>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</si>
  <si>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</si>
  <si>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</si>
  <si>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</si>
  <si>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</si>
  <si>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</si>
  <si>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</si>
  <si>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</si>
  <si>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</si>
  <si>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</si>
  <si>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</si>
  <si>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</si>
  <si>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</si>
  <si>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</si>
  <si>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</si>
  <si>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</si>
  <si>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</si>
  <si>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</si>
  <si>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</si>
  <si>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</si>
  <si>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</si>
  <si>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</si>
  <si>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</si>
  <si>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</si>
  <si>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</si>
  <si>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</si>
  <si>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</si>
  <si>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</si>
  <si>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</si>
  <si>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</si>
  <si>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</si>
  <si>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</si>
  <si>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</si>
  <si>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</si>
  <si>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</si>
  <si>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</si>
  <si>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</si>
  <si>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</si>
  <si>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</si>
  <si>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</si>
  <si>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</si>
  <si>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</si>
  <si>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</si>
  <si>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</si>
  <si>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</si>
  <si>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</si>
  <si>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</si>
  <si>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</si>
  <si>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</si>
  <si>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</si>
  <si>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</si>
  <si>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</si>
  <si>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</si>
  <si>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</si>
  <si>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</si>
  <si>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</si>
  <si>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</si>
  <si>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</si>
  <si>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</si>
  <si>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</si>
  <si>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</si>
  <si>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</si>
  <si>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</si>
  <si>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</si>
  <si>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</si>
  <si>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</si>
  <si>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</si>
  <si>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</si>
  <si>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</si>
  <si>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</si>
  <si>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</si>
  <si>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</si>
  <si>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</si>
  <si>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</si>
  <si>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</si>
  <si>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</si>
  <si>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</si>
  <si>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</si>
  <si>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</si>
  <si>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</si>
  <si>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</si>
  <si>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</si>
  <si>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</si>
  <si>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</si>
  <si>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</si>
  <si>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</si>
  <si>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</si>
  <si>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</si>
  <si>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</si>
  <si>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</si>
  <si>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</si>
  <si>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</si>
  <si>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</si>
  <si>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</si>
  <si>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</si>
  <si>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</si>
  <si>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</si>
  <si>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</si>
  <si>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</si>
  <si>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</si>
  <si>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</si>
  <si>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</si>
  <si>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</si>
  <si>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</si>
  <si>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</si>
  <si>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</si>
  <si>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</si>
  <si>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</si>
  <si>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</si>
  <si>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</si>
  <si>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</si>
  <si>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</si>
  <si>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</si>
  <si>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</si>
  <si>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</si>
  <si>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</si>
  <si>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</si>
  <si>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</si>
  <si>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</si>
  <si>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</si>
  <si>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</si>
  <si>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</si>
  <si>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</si>
  <si>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</si>
  <si>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</si>
  <si>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</si>
  <si>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</si>
  <si>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</si>
  <si>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</si>
  <si>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</si>
  <si>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</si>
  <si>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</si>
  <si>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</si>
  <si>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</si>
  <si>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</si>
  <si>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</si>
  <si>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</si>
  <si>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</si>
  <si>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</si>
  <si>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</si>
  <si>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</si>
  <si>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</si>
  <si>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</si>
  <si>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</si>
  <si>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</si>
  <si>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</si>
  <si>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</si>
  <si>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</si>
  <si>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</si>
  <si>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</si>
  <si>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</si>
  <si>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</si>
  <si>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</si>
  <si>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</si>
  <si>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</si>
  <si>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</si>
  <si>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</si>
  <si>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</si>
  <si>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</si>
  <si>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</si>
  <si>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</si>
  <si>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</si>
  <si>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</si>
  <si>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</si>
  <si>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</si>
  <si>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</si>
  <si>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</si>
  <si>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</si>
  <si>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</si>
  <si>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</si>
  <si>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</si>
  <si>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</si>
  <si>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</si>
  <si>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</si>
  <si>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</si>
  <si>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</si>
  <si>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</si>
  <si>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</si>
  <si>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</si>
  <si>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</si>
  <si>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</si>
  <si>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</si>
  <si>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</si>
  <si>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</si>
  <si>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</si>
  <si>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</si>
  <si>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</si>
  <si>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</si>
  <si>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</si>
  <si>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</si>
  <si>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</si>
  <si>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</si>
  <si>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</si>
  <si>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</si>
  <si>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</si>
  <si>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</si>
  <si>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</si>
  <si>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</si>
  <si>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</si>
  <si>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</si>
  <si>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</si>
  <si>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</si>
  <si>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</si>
  <si>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</si>
  <si>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</si>
  <si>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</si>
  <si>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</si>
  <si>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</si>
  <si>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</si>
  <si>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</si>
  <si>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</si>
  <si>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</si>
  <si>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</si>
  <si>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</si>
  <si>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</si>
  <si>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</si>
  <si>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</si>
  <si>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</si>
  <si>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</si>
  <si>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</si>
  <si>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</si>
  <si>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</si>
  <si>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</si>
  <si>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</si>
  <si>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</si>
  <si>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</si>
  <si>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</si>
  <si>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</si>
  <si>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</si>
  <si>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</si>
  <si>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</si>
  <si>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</si>
  <si>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</si>
  <si>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</si>
  <si>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</si>
  <si>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</si>
  <si>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</si>
  <si>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</si>
  <si>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</si>
  <si>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</si>
  <si>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</si>
  <si>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</si>
  <si>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</si>
  <si>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</si>
  <si>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</si>
  <si>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</si>
  <si>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</si>
  <si>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</si>
  <si>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</si>
  <si>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</si>
  <si>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</si>
  <si>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</si>
  <si>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</si>
  <si>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</si>
  <si>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</si>
  <si>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</si>
  <si>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</si>
  <si>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</si>
  <si>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</si>
  <si>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</si>
  <si>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</si>
  <si>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</si>
  <si>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</si>
  <si>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</si>
  <si>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</si>
  <si>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</si>
  <si>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</si>
  <si>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</si>
  <si>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</si>
  <si>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</si>
  <si>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</si>
  <si>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</si>
  <si>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</si>
  <si>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</si>
  <si>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</si>
  <si>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</si>
  <si>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</si>
  <si>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</si>
  <si>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</si>
  <si>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</si>
  <si>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</si>
  <si>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</si>
  <si>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</si>
  <si>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</si>
  <si>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</si>
  <si>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</si>
  <si>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</si>
  <si>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</si>
  <si>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</si>
  <si>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</si>
  <si>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</si>
  <si>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</si>
  <si>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</si>
  <si>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</si>
  <si>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</si>
  <si>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</si>
  <si>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</si>
  <si>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</si>
  <si>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</si>
  <si>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</si>
  <si>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</si>
  <si>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</si>
  <si>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</si>
  <si>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</si>
  <si>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</si>
  <si>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</si>
  <si>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</si>
  <si>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</si>
  <si>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</si>
  <si>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</si>
  <si>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</si>
  <si>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</si>
  <si>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</si>
  <si>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</si>
  <si>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</si>
  <si>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</si>
  <si>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</si>
  <si>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</si>
  <si>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</si>
  <si>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</si>
  <si>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</si>
  <si>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</si>
  <si>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</si>
  <si>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</si>
  <si>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</si>
  <si>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</si>
  <si>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</si>
  <si>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</si>
  <si>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</si>
  <si>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</si>
  <si>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</si>
  <si>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</si>
  <si>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</si>
  <si>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</si>
  <si>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</si>
  <si>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</si>
  <si>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</si>
  <si>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</si>
  <si>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</si>
  <si>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</si>
  <si>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</si>
  <si>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</si>
  <si>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</si>
  <si>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</si>
  <si>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</si>
  <si>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</si>
  <si>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</si>
  <si>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</si>
  <si>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</si>
  <si>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</si>
  <si>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</si>
  <si>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</si>
  <si>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</si>
  <si>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</si>
  <si>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</si>
  <si>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</si>
  <si>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</si>
  <si>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</si>
  <si>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</si>
  <si>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</si>
  <si>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</si>
  <si>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</si>
  <si>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</si>
  <si>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</si>
  <si>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</si>
  <si>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</si>
  <si>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</si>
  <si>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</si>
  <si>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</si>
  <si>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</si>
  <si>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</si>
  <si>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</si>
  <si>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</si>
  <si>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</si>
  <si>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</si>
  <si>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</si>
  <si>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</si>
  <si>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</si>
  <si>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</si>
  <si>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</si>
  <si>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</si>
  <si>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</si>
  <si>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</si>
  <si>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</si>
  <si>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</si>
  <si>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</si>
  <si>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</si>
  <si>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</si>
  <si>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</si>
  <si>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</si>
  <si>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</si>
  <si>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</si>
  <si>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</si>
  <si>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</si>
  <si>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</si>
  <si>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</si>
  <si>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</si>
  <si>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</si>
  <si>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</si>
  <si>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</si>
  <si>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</si>
  <si>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</si>
  <si>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</si>
  <si>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</si>
  <si>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</si>
  <si>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</si>
  <si>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</si>
  <si>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</si>
  <si>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</si>
  <si>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</si>
  <si>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</si>
  <si>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</si>
  <si>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</si>
  <si>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</si>
  <si>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</si>
  <si>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</si>
  <si>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</si>
  <si>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</si>
  <si>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</si>
  <si>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</si>
  <si>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</si>
  <si>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</si>
  <si>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</si>
  <si>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</si>
  <si>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</si>
  <si>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</si>
  <si>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</si>
  <si>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</si>
  <si>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</si>
  <si>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</si>
  <si>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</si>
  <si>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</si>
  <si>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</si>
  <si>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</si>
  <si>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</si>
  <si>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</si>
  <si>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</si>
  <si>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</si>
  <si>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</si>
  <si>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</si>
  <si>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</si>
  <si>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</si>
  <si>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</si>
  <si>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</si>
  <si>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</si>
  <si>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</si>
  <si>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</si>
  <si>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</si>
  <si>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</si>
  <si>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</si>
  <si>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</si>
  <si>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</si>
  <si>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</si>
  <si>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</si>
  <si>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</si>
  <si>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</si>
  <si>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</si>
  <si>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</si>
  <si>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</si>
  <si>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</si>
  <si>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</si>
  <si>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</si>
  <si>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</si>
  <si>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</si>
  <si>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</si>
  <si>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</si>
  <si>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</si>
  <si>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</si>
  <si>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</si>
  <si>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</si>
  <si>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</si>
  <si>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</si>
  <si>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Champlain Cable Corporation</t>
  </si>
  <si>
    <t>2338549</t>
  </si>
  <si>
    <t>DUNS</t>
  </si>
  <si>
    <t>175 Hercules Drive, Colchester, VT, 05446, USA</t>
  </si>
  <si>
    <t>Jordan Mayer</t>
  </si>
  <si>
    <t>jmayer@champcable.com</t>
  </si>
  <si>
    <t>802-654-4280</t>
  </si>
  <si>
    <t>Environmental, Health, and Safety Manager</t>
  </si>
  <si>
    <t>https://www.champcable.com/suppliers/</t>
  </si>
  <si>
    <t>Cogebi SA</t>
  </si>
  <si>
    <t>Vožická 2104/28, 390 02</t>
  </si>
  <si>
    <t>There are no smelters used in production of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</si>
</sst>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hampcable.com/suppliers/" TargetMode="External"/><Relationship Id="rId2" Type="http://schemas.openxmlformats.org/officeDocument/2006/relationships/hyperlink" Target="mailto:jmayer@champcable.com" TargetMode="External"/><Relationship Id="rId1" Type="http://schemas.openxmlformats.org/officeDocument/2006/relationships/hyperlink" Target="mailto:jmayer@champcabl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75C9F56-A5E0-4195-8B9E-4FF74E6A4E11}"/>
    </customSheetView>
    <customSheetView guid="{4BDF1A28-30D5-449D-B20E-D6C97EF9FAE1}" showAutoFilter="1">
      <selection activeCell="C1" sqref="C1:D65536"/>
      <pageMargins left="0" right="0" top="0" bottom="0" header="0" footer="0"/>
      <pageSetup orientation="portrait"/>
      <autoFilter ref="B1:C1" xr:uid="{614D32D9-C2AA-4194-BC2E-0EFE08BAAF7C}"/>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12811</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12812</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12813</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12814</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12815</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12816</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12814</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12817</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12815</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12814</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44977</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27</v>
      </c>
      <c r="E27" s="323"/>
      <c r="F27" s="9"/>
      <c r="G27" s="324"/>
      <c r="H27" s="325"/>
      <c r="I27" s="325"/>
      <c r="J27" s="326"/>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t="s">
        <v>27</v>
      </c>
      <c r="E33" s="323"/>
      <c r="F33" s="9"/>
      <c r="G33" s="324"/>
      <c r="H33" s="325"/>
      <c r="I33" s="325"/>
      <c r="J33" s="326"/>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t="s">
        <v>24</v>
      </c>
      <c r="E39" s="323"/>
      <c r="F39" s="41"/>
      <c r="G39" s="324"/>
      <c r="H39" s="325"/>
      <c r="I39" s="325"/>
      <c r="J39" s="326"/>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v>1</v>
      </c>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t="s">
        <v>27</v>
      </c>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t="s">
        <v>27</v>
      </c>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t="s">
        <v>27</v>
      </c>
      <c r="E71" s="323"/>
      <c r="F71" s="51"/>
      <c r="G71" s="338" t="s">
        <v>12818</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t="s">
        <v>24</v>
      </c>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F553F50-850A-496D-9147-68A71E5C97B9}"/>
    <hyperlink ref="D20" r:id="rId2" xr:uid="{F9556082-041D-4B6F-A7D4-ED4C15B383D2}"/>
    <hyperlink ref="G71" r:id="rId3" xr:uid="{CB195A23-306E-4CF7-8A8B-40F7F709782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Q5" sqref="Q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
        <v>46</v>
      </c>
      <c r="C5" s="154" t="str">
        <f>IF(LEN(A5)=0,"",INDEX('Smelter Look-up'!$C:$C,MATCH($A5,'Smelter Look-up'!$E:$E,0)))</f>
        <v/>
      </c>
      <c r="D5" s="151" t="s">
        <v>12819</v>
      </c>
      <c r="E5" s="151" t="s">
        <v>1935</v>
      </c>
      <c r="F5" s="151" t="str">
        <f ca="1">IF(ISERROR($V5),"",OFFSET('Smelter Look-up'!$E$4,$V5-4,0))</f>
        <v/>
      </c>
      <c r="G5" s="151" t="str">
        <f ca="1">IF(C5=$X$4,"Enter smelter details",IF(ISERROR($V5),"",OFFSET('Smelter Look-up'!$F$4,$V5-4,0)))</f>
        <v/>
      </c>
      <c r="H5" s="209" t="s">
        <v>12820</v>
      </c>
      <c r="I5" s="210" t="s">
        <v>10820</v>
      </c>
      <c r="J5" s="210" t="str">
        <f ca="1">IF(ISERROR($V5),"",OFFSET('Smelter Look-up'!$I$4,$V5-4,0))</f>
        <v/>
      </c>
      <c r="K5" s="152"/>
      <c r="L5" s="152"/>
      <c r="M5" s="152"/>
      <c r="N5" s="152"/>
      <c r="O5" s="152"/>
      <c r="P5" s="212"/>
      <c r="Q5" s="153" t="s">
        <v>12821</v>
      </c>
      <c r="R5" s="151" t="str">
        <f ca="1">IF(ISERROR($V5),"",OFFSET('Smelter Look-up'!$C$4,$V5-4,0)&amp;"")</f>
        <v/>
      </c>
      <c r="S5" s="157" t="str">
        <f t="shared" ref="S5:S63" ca="1" si="0">IF(B5="","",IF(ISERROR(MATCH($E5,CL,0)),"Unknown",INDIRECT("'C'!$A$"&amp;MATCH($E5,CL,0)+1)))</f>
        <v>Unknown</v>
      </c>
      <c r="T5" s="157" t="str">
        <f ca="1">IF(B5="","",IF(ISERROR(MATCH($J5,SorP!$B$1:$B$5662,0)),"",INDIRECT("'SorP'!$A$"&amp;MATCH($J5,SorP!$B$1:$B$5662,0))))</f>
        <v/>
      </c>
      <c r="U5" s="170"/>
      <c r="V5" s="171" t="e">
        <f>IF(C5="",NA(),MATCH($B5&amp;$C5,'Smelter Look-up'!$J:$J,0))</f>
        <v>#N/A</v>
      </c>
      <c r="X5" s="172">
        <f t="shared" ref="X5:X62" si="1">IF(AND(C5="Smelter not listed",OR(LEN(D5)=0,LEN(E5)=0)),1,0)</f>
        <v>0</v>
      </c>
      <c r="AB5" s="172" t="str">
        <f t="shared" ref="AB5:AB62" si="2">B5&amp;C5</f>
        <v>Mica</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39"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f>IF(H66=0,"0",H66)</f>
        <v>2</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Champlain Cable Corporation</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Jordan Mayer</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jmayer@champcable.com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802-654-4280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Jordan Mayer</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jmayer@champcable.com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Jordan Mayer</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44977</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33" t="str">
        <f>IF(H21=1,"Click here to answer question 2 for Mica","")</f>
        <v/>
      </c>
      <c r="E21" s="17" t="s">
        <v>16</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8" t="str">
        <f t="shared" ca="1" si="3"/>
        <v>Complete</v>
      </c>
      <c r="D24" s="233" t="str">
        <f>IF(H24=1,"Click here to answer question 3 for Mica","")</f>
        <v/>
      </c>
      <c r="E24" s="17" t="s">
        <v>16</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8" t="str">
        <f t="shared" ca="1" si="3"/>
        <v>Complete</v>
      </c>
      <c r="D34" s="86" t="str">
        <f>IF(H34=1,"Click here to answer question 5 for Mica","")</f>
        <v/>
      </c>
      <c r="E34" s="17" t="s">
        <v>20</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8" t="str">
        <f t="shared" ca="1" si="3"/>
        <v>Complete</v>
      </c>
      <c r="D39" s="88" t="str">
        <f>IF(H39=1,"Click here to answer question 6 for Mica","")</f>
        <v/>
      </c>
      <c r="E39" s="17" t="s">
        <v>14</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16</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8.2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https://www.champcable.com/suppliers/</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196"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Provide list of mica processors contributing material to supply chain on Smelter List tab</v>
      </c>
      <c r="D62" s="223" t="str">
        <f>IF(H62=0,"","Click here to provide smelter information")</f>
        <v>Click here to provide smelter information</v>
      </c>
      <c r="E62" s="17" t="s">
        <v>16</v>
      </c>
      <c r="F62" s="85">
        <f>F24</f>
        <v>1</v>
      </c>
      <c r="G62" s="63">
        <f>IF(AND(COUNTIF(SmelterIdetifiedForMetal,"Mica")&gt;0,COUNTIF('Smelter List'!AB$5:AB$2499,"Mica?*")&gt;0),0,1)</f>
        <v>1</v>
      </c>
      <c r="H62" s="64">
        <f>F62*G62</f>
        <v>1</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2</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AE1AFFD-E0B5-4BB3-8D52-B9DA601273A8}"/>
    </customSheetView>
    <customSheetView guid="{4BDF1A28-30D5-449D-B20E-D6C97EF9FAE1}" showAutoFilter="1">
      <selection activeCell="C174" sqref="C174"/>
      <pageMargins left="0" right="0" top="0" bottom="0" header="0" footer="0"/>
      <pageSetup paperSize="9" orientation="portrait"/>
      <autoFilter ref="B1:N1" xr:uid="{E3D949F0-B154-4E7F-8F95-3022C9B4FD6F}"/>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Mayer, Jordan</cp:lastModifiedBy>
  <cp:revision/>
  <dcterms:created xsi:type="dcterms:W3CDTF">2010-06-21T21:00:23Z</dcterms:created>
  <dcterms:modified xsi:type="dcterms:W3CDTF">2023-02-20T15:08:35Z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